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40" yWindow="240" windowWidth="25365" windowHeight="15825" tabRatio="500" activeTab="1"/>
  </bookViews>
  <sheets>
    <sheet name="Expense " sheetId="1" r:id="rId1"/>
    <sheet name="Revenue" sheetId="2" r:id="rId2"/>
  </sheets>
  <externalReferences>
    <externalReference r:id="rId3"/>
  </externalReferenc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E4" i="1"/>
  <c r="G4" i="1"/>
  <c r="I4" i="1"/>
  <c r="K4" i="1"/>
  <c r="Q4" i="1"/>
  <c r="S4" i="1"/>
  <c r="U4" i="1"/>
  <c r="W4" i="1"/>
  <c r="Y4" i="1"/>
  <c r="C5" i="1"/>
  <c r="E5" i="1"/>
  <c r="G5" i="1"/>
  <c r="I5" i="1"/>
  <c r="Q5" i="1"/>
  <c r="W5" i="1"/>
  <c r="Y5" i="1"/>
  <c r="Q6" i="1"/>
  <c r="W6" i="1"/>
  <c r="Y6" i="1"/>
  <c r="Q7" i="1"/>
  <c r="W7" i="1"/>
  <c r="Y7" i="1"/>
  <c r="Q8" i="1"/>
  <c r="W8" i="1"/>
  <c r="Y8" i="1"/>
  <c r="Q9" i="1"/>
  <c r="W9" i="1"/>
  <c r="Y9" i="1"/>
  <c r="Q10" i="1"/>
  <c r="S10" i="1"/>
  <c r="U10" i="1"/>
  <c r="W10" i="1"/>
  <c r="Y10" i="1"/>
  <c r="Q11" i="1"/>
  <c r="S11" i="1"/>
  <c r="U11" i="1"/>
  <c r="W11" i="1"/>
  <c r="Y11" i="1"/>
  <c r="Q12" i="1"/>
  <c r="S12" i="1"/>
  <c r="U12" i="1"/>
  <c r="W12" i="1"/>
  <c r="Y12" i="1"/>
  <c r="Y13" i="1"/>
  <c r="C15" i="1"/>
  <c r="G15" i="1"/>
  <c r="I15" i="1"/>
  <c r="K15" i="1"/>
  <c r="M15" i="1"/>
  <c r="O15" i="1"/>
  <c r="Q15" i="1"/>
  <c r="U15" i="1"/>
  <c r="W15" i="1"/>
  <c r="Y15" i="1"/>
  <c r="C16" i="1"/>
  <c r="G16" i="1"/>
  <c r="I16" i="1"/>
  <c r="K16" i="1"/>
  <c r="M16" i="1"/>
  <c r="O16" i="1"/>
  <c r="Q16" i="1"/>
  <c r="W16" i="1"/>
  <c r="Y16" i="1"/>
  <c r="C17" i="1"/>
  <c r="G17" i="1"/>
  <c r="I17" i="1"/>
  <c r="K17" i="1"/>
  <c r="M17" i="1"/>
  <c r="O17" i="1"/>
  <c r="Q17" i="1"/>
  <c r="S17" i="1"/>
  <c r="U17" i="1"/>
  <c r="W17" i="1"/>
  <c r="Y17" i="1"/>
  <c r="C18" i="1"/>
  <c r="G18" i="1"/>
  <c r="I18" i="1"/>
  <c r="K18" i="1"/>
  <c r="M18" i="1"/>
  <c r="O18" i="1"/>
  <c r="Q18" i="1"/>
  <c r="W18" i="1"/>
  <c r="Y18" i="1"/>
  <c r="C19" i="1"/>
  <c r="G19" i="1"/>
  <c r="I19" i="1"/>
  <c r="K19" i="1"/>
  <c r="M19" i="1"/>
  <c r="O19" i="1"/>
  <c r="Q19" i="1"/>
  <c r="W19" i="1"/>
  <c r="Y19" i="1"/>
  <c r="Y20" i="1"/>
  <c r="Y21" i="1"/>
  <c r="Q28" i="1"/>
  <c r="Q29" i="1"/>
  <c r="Q30" i="1"/>
  <c r="Y30" i="1"/>
  <c r="X37" i="1"/>
  <c r="X39" i="1"/>
  <c r="V4" i="1"/>
  <c r="P4" i="1"/>
  <c r="X4" i="1"/>
  <c r="V5" i="1"/>
  <c r="P5" i="1"/>
  <c r="X5" i="1"/>
  <c r="V6" i="1"/>
  <c r="P6" i="1"/>
  <c r="X6" i="1"/>
  <c r="V7" i="1"/>
  <c r="P7" i="1"/>
  <c r="X7" i="1"/>
  <c r="V8" i="1"/>
  <c r="P8" i="1"/>
  <c r="X8" i="1"/>
  <c r="V9" i="1"/>
  <c r="P9" i="1"/>
  <c r="X9" i="1"/>
  <c r="V10" i="1"/>
  <c r="P10" i="1"/>
  <c r="X10" i="1"/>
  <c r="V11" i="1"/>
  <c r="P11" i="1"/>
  <c r="X11" i="1"/>
  <c r="X12" i="1"/>
  <c r="X13" i="1"/>
  <c r="P15" i="1"/>
  <c r="V15" i="1"/>
  <c r="X15" i="1"/>
  <c r="P16" i="1"/>
  <c r="V16" i="1"/>
  <c r="X16" i="1"/>
  <c r="P17" i="1"/>
  <c r="V17" i="1"/>
  <c r="X17" i="1"/>
  <c r="X18" i="1"/>
  <c r="P19" i="1"/>
  <c r="V19" i="1"/>
  <c r="X19" i="1"/>
  <c r="X20" i="1"/>
  <c r="X21" i="1"/>
  <c r="R28" i="1"/>
  <c r="V28" i="1"/>
  <c r="V30" i="1"/>
  <c r="P28" i="1"/>
  <c r="P30" i="1"/>
  <c r="X30" i="1"/>
  <c r="Q20" i="1"/>
  <c r="C13" i="1"/>
  <c r="E13" i="1"/>
  <c r="G13" i="1"/>
  <c r="I13" i="1"/>
  <c r="K13" i="1"/>
  <c r="M13" i="1"/>
  <c r="O13" i="1"/>
  <c r="Q13" i="1"/>
  <c r="Q23" i="1"/>
  <c r="Q26" i="1"/>
  <c r="U20" i="1"/>
  <c r="U13" i="1"/>
  <c r="U21" i="1"/>
  <c r="Y34" i="1"/>
  <c r="S20" i="1"/>
  <c r="S13" i="1"/>
  <c r="S21" i="1"/>
  <c r="Y33" i="1"/>
  <c r="Q21" i="1"/>
  <c r="Y32" i="1"/>
  <c r="T20" i="1"/>
  <c r="T13" i="1"/>
  <c r="T21" i="1"/>
  <c r="X34" i="1"/>
  <c r="R13" i="1"/>
  <c r="R20" i="1"/>
  <c r="R21" i="1"/>
  <c r="X33" i="1"/>
  <c r="P13" i="1"/>
  <c r="P20" i="1"/>
  <c r="P21" i="1"/>
  <c r="X32" i="1"/>
  <c r="R30" i="1"/>
  <c r="N30" i="1"/>
  <c r="O30" i="1"/>
  <c r="D30" i="1"/>
  <c r="E30" i="1"/>
  <c r="F30" i="1"/>
  <c r="G30" i="1"/>
  <c r="H30" i="1"/>
  <c r="I30" i="1"/>
  <c r="J30" i="1"/>
  <c r="K30" i="1"/>
  <c r="L30" i="1"/>
  <c r="M30" i="1"/>
  <c r="C30" i="1"/>
  <c r="B30" i="1"/>
  <c r="W21" i="1"/>
  <c r="V21" i="1"/>
  <c r="G20" i="1"/>
  <c r="G21" i="1"/>
  <c r="F20" i="1"/>
  <c r="F13" i="1"/>
  <c r="F21" i="1"/>
  <c r="D20" i="1"/>
  <c r="D13" i="1"/>
  <c r="D21" i="1"/>
  <c r="E20" i="1"/>
  <c r="E21" i="1"/>
  <c r="H20" i="1"/>
  <c r="H13" i="1"/>
  <c r="H21" i="1"/>
  <c r="I20" i="1"/>
  <c r="I21" i="1"/>
  <c r="J20" i="1"/>
  <c r="J13" i="1"/>
  <c r="J21" i="1"/>
  <c r="K20" i="1"/>
  <c r="K21" i="1"/>
  <c r="L20" i="1"/>
  <c r="L13" i="1"/>
  <c r="L21" i="1"/>
  <c r="M20" i="1"/>
  <c r="M21" i="1"/>
  <c r="N20" i="1"/>
  <c r="N13" i="1"/>
  <c r="N21" i="1"/>
  <c r="O20" i="1"/>
  <c r="O21" i="1"/>
  <c r="C20" i="1"/>
  <c r="C21" i="1"/>
  <c r="B20" i="1"/>
  <c r="B13" i="1"/>
  <c r="B21" i="1"/>
  <c r="Q24" i="1"/>
  <c r="P24" i="1"/>
  <c r="O25" i="1"/>
  <c r="N25" i="1"/>
  <c r="M25" i="1"/>
  <c r="L25" i="1"/>
  <c r="K25" i="1"/>
  <c r="J25" i="1"/>
  <c r="I25" i="1"/>
  <c r="H25" i="1"/>
  <c r="G25" i="1"/>
  <c r="F25" i="1"/>
  <c r="E25" i="1"/>
  <c r="C25" i="1"/>
  <c r="W20" i="1"/>
  <c r="W13" i="1"/>
  <c r="C26" i="1"/>
  <c r="B26" i="1"/>
  <c r="F26" i="1"/>
  <c r="D26" i="1"/>
  <c r="E26" i="1"/>
  <c r="G26" i="1"/>
  <c r="H26" i="1"/>
  <c r="I26" i="1"/>
  <c r="J26" i="1"/>
  <c r="K26" i="1"/>
  <c r="P23" i="1"/>
  <c r="L23" i="1"/>
  <c r="L26" i="1"/>
  <c r="M23" i="1"/>
  <c r="M26" i="1"/>
  <c r="N23" i="1"/>
  <c r="N26" i="1"/>
  <c r="O23" i="1"/>
  <c r="O26" i="1"/>
  <c r="P26" i="1"/>
  <c r="D25" i="1"/>
  <c r="V20" i="1"/>
  <c r="V13" i="1"/>
  <c r="B14" i="2"/>
  <c r="C6" i="2"/>
  <c r="D14" i="2"/>
  <c r="C14" i="2"/>
</calcChain>
</file>

<file path=xl/sharedStrings.xml><?xml version="1.0" encoding="utf-8"?>
<sst xmlns="http://schemas.openxmlformats.org/spreadsheetml/2006/main" count="68" uniqueCount="64">
  <si>
    <t>Health Services</t>
  </si>
  <si>
    <t>Water &amp; Sanitation</t>
  </si>
  <si>
    <t>Metrics &amp; Evaluation</t>
  </si>
  <si>
    <t>Admin/General</t>
  </si>
  <si>
    <t>Development</t>
  </si>
  <si>
    <t>KSG</t>
  </si>
  <si>
    <t>MSP</t>
  </si>
  <si>
    <r>
      <rPr>
        <sz val="12"/>
        <color indexed="8"/>
        <rFont val="Bell MT"/>
      </rPr>
      <t xml:space="preserve"> </t>
    </r>
    <r>
      <rPr>
        <b/>
        <sz val="12"/>
        <color indexed="8"/>
        <rFont val="Bell MT"/>
      </rPr>
      <t>TOTAL SUPPORT BUDGET</t>
    </r>
  </si>
  <si>
    <t>TOTAL BUDGET</t>
  </si>
  <si>
    <t>PROGRAM YEAR</t>
  </si>
  <si>
    <t>Food</t>
  </si>
  <si>
    <t>Communication</t>
  </si>
  <si>
    <t>Service Fees</t>
  </si>
  <si>
    <t>Equipment/Software</t>
  </si>
  <si>
    <t>Direct Program Salaries</t>
  </si>
  <si>
    <t>Program Expenses</t>
  </si>
  <si>
    <t>Direct Operational Costs</t>
  </si>
  <si>
    <t xml:space="preserve">Professional Fees </t>
  </si>
  <si>
    <t>Staff Travel</t>
  </si>
  <si>
    <t xml:space="preserve">Occupancy </t>
  </si>
  <si>
    <t xml:space="preserve">Support Staff Salaries </t>
  </si>
  <si>
    <t xml:space="preserve">TOTAL Program Support </t>
  </si>
  <si>
    <t xml:space="preserve">Capital Expenses </t>
  </si>
  <si>
    <t>TOTAL Capital</t>
  </si>
  <si>
    <t>Kenya Program Operations/Expansion Piloting</t>
  </si>
  <si>
    <t xml:space="preserve"># of direct beneficiaries </t>
  </si>
  <si>
    <t xml:space="preserve"># of staff members </t>
  </si>
  <si>
    <t>% total budget</t>
  </si>
  <si>
    <t xml:space="preserve">TOTAL Direct Operational </t>
  </si>
  <si>
    <t xml:space="preserve">Allocated Program Support </t>
  </si>
  <si>
    <t xml:space="preserve">Employee Benefits </t>
  </si>
  <si>
    <t>-</t>
  </si>
  <si>
    <t>cost per beneficiary**</t>
  </si>
  <si>
    <t>** calculated only with cost of direct beneficiaries, does not include indirect or staff</t>
  </si>
  <si>
    <t>Special Events/Staff Development/Outreach</t>
  </si>
  <si>
    <t>% admin cost</t>
  </si>
  <si>
    <t>% development cost</t>
  </si>
  <si>
    <t>Shining Hope for Communities 2013 Estimated Final</t>
  </si>
  <si>
    <t>One-time Capital</t>
  </si>
  <si>
    <t xml:space="preserve">TOTAL OPERATING BUDGET </t>
  </si>
  <si>
    <t>% program</t>
  </si>
  <si>
    <t>Community Services</t>
  </si>
  <si>
    <t>TOTAL PROGRAM BUDGET</t>
  </si>
  <si>
    <t>Misc. Expenses</t>
  </si>
  <si>
    <t>Maintenance Capital</t>
  </si>
  <si>
    <t xml:space="preserve">Income </t>
    <phoneticPr fontId="7" type="noConversion"/>
  </si>
  <si>
    <t>Budget</t>
    <phoneticPr fontId="7" type="noConversion"/>
  </si>
  <si>
    <t>Actual</t>
    <phoneticPr fontId="7" type="noConversion"/>
  </si>
  <si>
    <t xml:space="preserve">Corporations </t>
    <phoneticPr fontId="7" type="noConversion"/>
  </si>
  <si>
    <t>Foundations</t>
    <phoneticPr fontId="7" type="noConversion"/>
  </si>
  <si>
    <r>
      <t xml:space="preserve">Major Gifts </t>
    </r>
    <r>
      <rPr>
        <sz val="12"/>
        <color indexed="8"/>
        <rFont val="Garamond"/>
        <family val="1"/>
      </rPr>
      <t>(Individuals &gt; $5,000)</t>
    </r>
  </si>
  <si>
    <r>
      <t xml:space="preserve">Individual donations </t>
    </r>
    <r>
      <rPr>
        <sz val="12"/>
        <color indexed="8"/>
        <rFont val="Garamond"/>
        <family val="1"/>
      </rPr>
      <t>(less than $1000)</t>
    </r>
  </si>
  <si>
    <t>Individuals ($1000 to $4,999)</t>
    <phoneticPr fontId="7" type="noConversion"/>
  </si>
  <si>
    <t>Sponsorships</t>
    <phoneticPr fontId="7" type="noConversion"/>
  </si>
  <si>
    <t>Program fees/Services</t>
    <phoneticPr fontId="7" type="noConversion"/>
  </si>
  <si>
    <t>Interest earned</t>
    <phoneticPr fontId="7" type="noConversion"/>
  </si>
  <si>
    <t>Revenue from Products</t>
  </si>
  <si>
    <t>*</t>
    <phoneticPr fontId="17" type="noConversion"/>
  </si>
  <si>
    <t xml:space="preserve">*Reflects Tim's desire for a push on major gifts--especially targeting expansion goals.  </t>
    <phoneticPr fontId="17" type="noConversion"/>
  </si>
  <si>
    <t>2013 TOTAL SUMMARY</t>
  </si>
  <si>
    <t>Operating total</t>
  </si>
  <si>
    <t>Expansion Goal*</t>
  </si>
  <si>
    <t xml:space="preserve">*Detailed in additional excel attachment </t>
  </si>
  <si>
    <t>Shining Hope for Communities            2013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</si>
</sst>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Bell MT"/>
    </font>
    <font>
      <b/>
      <sz val="12"/>
      <color indexed="8"/>
      <name val="Bell MT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indexed="8"/>
      <name val="Bell MT"/>
    </font>
    <font>
      <sz val="8"/>
      <name val="Calibri"/>
      <family val="2"/>
      <scheme val="minor"/>
    </font>
    <font>
      <sz val="12"/>
      <color indexed="206"/>
      <name val="Bell MT"/>
    </font>
    <font>
      <b/>
      <sz val="14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b/>
      <i/>
      <sz val="12"/>
      <name val="Garamond"/>
      <family val="1"/>
    </font>
    <font>
      <b/>
      <sz val="12"/>
      <color indexed="8"/>
      <name val="Garamond"/>
      <family val="1"/>
    </font>
    <font>
      <sz val="12"/>
      <color indexed="8"/>
      <name val="Garamond"/>
      <family val="1"/>
    </font>
    <font>
      <sz val="10"/>
      <color indexed="8"/>
      <name val="Garamond"/>
      <family val="1"/>
    </font>
    <font>
      <sz val="8"/>
      <name val="Bell MT"/>
    </font>
    <font>
      <sz val="12"/>
      <color theme="1"/>
      <name val="Bell MT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0" borderId="3" xfId="0" applyFont="1" applyBorder="1"/>
    <xf numFmtId="0" fontId="3" fillId="0" borderId="4" xfId="0" applyFont="1" applyBorder="1"/>
    <xf numFmtId="0" fontId="4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/>
    <xf numFmtId="0" fontId="4" fillId="2" borderId="1" xfId="0" applyFont="1" applyFill="1" applyBorder="1"/>
    <xf numFmtId="0" fontId="4" fillId="5" borderId="1" xfId="0" applyFont="1" applyFill="1" applyBorder="1"/>
    <xf numFmtId="0" fontId="4" fillId="5" borderId="1" xfId="0" applyFont="1" applyFill="1" applyBorder="1" applyAlignment="1">
      <alignment wrapText="1"/>
    </xf>
    <xf numFmtId="0" fontId="0" fillId="0" borderId="0" xfId="0" applyFont="1"/>
    <xf numFmtId="0" fontId="4" fillId="6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64" fontId="3" fillId="0" borderId="1" xfId="1" applyNumberFormat="1" applyFont="1" applyBorder="1" applyAlignment="1">
      <alignment horizontal="center" wrapText="1"/>
    </xf>
    <xf numFmtId="164" fontId="3" fillId="0" borderId="1" xfId="1" applyNumberFormat="1" applyFont="1" applyBorder="1" applyAlignment="1">
      <alignment wrapText="1"/>
    </xf>
    <xf numFmtId="164" fontId="3" fillId="0" borderId="1" xfId="1" applyNumberFormat="1" applyFont="1" applyBorder="1"/>
    <xf numFmtId="164" fontId="3" fillId="5" borderId="1" xfId="1" applyNumberFormat="1" applyFont="1" applyFill="1" applyBorder="1" applyAlignment="1">
      <alignment wrapText="1"/>
    </xf>
    <xf numFmtId="164" fontId="3" fillId="5" borderId="1" xfId="1" applyNumberFormat="1" applyFont="1" applyFill="1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/>
    <xf numFmtId="0" fontId="7" fillId="0" borderId="1" xfId="0" applyFont="1" applyFill="1" applyBorder="1" applyAlignment="1">
      <alignment horizontal="left" wrapText="1"/>
    </xf>
    <xf numFmtId="164" fontId="3" fillId="2" borderId="1" xfId="1" applyNumberFormat="1" applyFont="1" applyFill="1" applyBorder="1" applyAlignment="1">
      <alignment wrapText="1"/>
    </xf>
    <xf numFmtId="164" fontId="3" fillId="2" borderId="1" xfId="1" applyNumberFormat="1" applyFont="1" applyFill="1" applyBorder="1"/>
    <xf numFmtId="164" fontId="3" fillId="6" borderId="1" xfId="1" applyNumberFormat="1" applyFont="1" applyFill="1" applyBorder="1"/>
    <xf numFmtId="0" fontId="0" fillId="4" borderId="0" xfId="0" applyFont="1" applyFill="1"/>
    <xf numFmtId="164" fontId="3" fillId="0" borderId="1" xfId="1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3" fillId="0" borderId="0" xfId="1" applyNumberFormat="1" applyFont="1"/>
    <xf numFmtId="164" fontId="0" fillId="0" borderId="0" xfId="1" applyNumberFormat="1" applyFont="1"/>
    <xf numFmtId="0" fontId="3" fillId="0" borderId="1" xfId="0" applyFont="1" applyBorder="1"/>
    <xf numFmtId="0" fontId="0" fillId="0" borderId="1" xfId="0" applyFont="1" applyBorder="1"/>
    <xf numFmtId="9" fontId="3" fillId="0" borderId="1" xfId="5" applyFont="1" applyBorder="1"/>
    <xf numFmtId="165" fontId="3" fillId="0" borderId="1" xfId="4" applyNumberFormat="1" applyFont="1" applyBorder="1"/>
    <xf numFmtId="44" fontId="3" fillId="0" borderId="1" xfId="4" applyNumberFormat="1" applyFont="1" applyBorder="1"/>
    <xf numFmtId="0" fontId="3" fillId="0" borderId="1" xfId="0" applyFont="1" applyBorder="1" applyAlignment="1">
      <alignment wrapText="1"/>
    </xf>
    <xf numFmtId="164" fontId="0" fillId="0" borderId="0" xfId="0" applyNumberFormat="1"/>
    <xf numFmtId="10" fontId="0" fillId="0" borderId="0" xfId="0" applyNumberFormat="1"/>
    <xf numFmtId="9" fontId="3" fillId="0" borderId="1" xfId="5" applyNumberFormat="1" applyFont="1" applyBorder="1"/>
    <xf numFmtId="164" fontId="0" fillId="0" borderId="1" xfId="0" applyNumberFormat="1" applyFont="1" applyBorder="1"/>
    <xf numFmtId="164" fontId="3" fillId="0" borderId="1" xfId="0" applyNumberFormat="1" applyFont="1" applyBorder="1"/>
    <xf numFmtId="0" fontId="4" fillId="7" borderId="1" xfId="0" applyFont="1" applyFill="1" applyBorder="1"/>
    <xf numFmtId="164" fontId="3" fillId="7" borderId="1" xfId="1" applyNumberFormat="1" applyFont="1" applyFill="1" applyBorder="1"/>
    <xf numFmtId="164" fontId="3" fillId="7" borderId="5" xfId="1" applyNumberFormat="1" applyFont="1" applyFill="1" applyBorder="1"/>
    <xf numFmtId="0" fontId="0" fillId="0" borderId="1" xfId="0" applyBorder="1"/>
    <xf numFmtId="9" fontId="3" fillId="7" borderId="1" xfId="5" applyFont="1" applyFill="1" applyBorder="1"/>
    <xf numFmtId="9" fontId="3" fillId="7" borderId="5" xfId="5" applyNumberFormat="1" applyFont="1" applyFill="1" applyBorder="1"/>
    <xf numFmtId="164" fontId="9" fillId="8" borderId="1" xfId="1" applyNumberFormat="1" applyFont="1" applyFill="1" applyBorder="1"/>
    <xf numFmtId="164" fontId="3" fillId="8" borderId="5" xfId="1" applyNumberFormat="1" applyFont="1" applyFill="1" applyBorder="1"/>
    <xf numFmtId="164" fontId="0" fillId="0" borderId="0" xfId="0" applyNumberFormat="1" applyFont="1"/>
    <xf numFmtId="2" fontId="0" fillId="0" borderId="0" xfId="0" applyNumberFormat="1"/>
    <xf numFmtId="164" fontId="3" fillId="7" borderId="1" xfId="1" applyNumberFormat="1" applyFont="1" applyFill="1" applyBorder="1" applyAlignment="1">
      <alignment horizontal="center"/>
    </xf>
    <xf numFmtId="43" fontId="0" fillId="0" borderId="0" xfId="0" applyNumberFormat="1" applyFont="1"/>
    <xf numFmtId="0" fontId="4" fillId="0" borderId="1" xfId="0" applyFont="1" applyFill="1" applyBorder="1" applyAlignment="1">
      <alignment horizontal="left" wrapText="1"/>
    </xf>
    <xf numFmtId="164" fontId="3" fillId="3" borderId="1" xfId="1" applyNumberFormat="1" applyFont="1" applyFill="1" applyBorder="1"/>
    <xf numFmtId="164" fontId="3" fillId="9" borderId="1" xfId="1" applyNumberFormat="1" applyFont="1" applyFill="1" applyBorder="1"/>
    <xf numFmtId="165" fontId="0" fillId="0" borderId="0" xfId="4" applyNumberFormat="1" applyFont="1"/>
    <xf numFmtId="165" fontId="0" fillId="0" borderId="0" xfId="0" applyNumberFormat="1" applyFont="1"/>
    <xf numFmtId="0" fontId="10" fillId="0" borderId="6" xfId="0" applyFont="1" applyBorder="1" applyAlignment="1">
      <alignment horizontal="left" wrapText="1"/>
    </xf>
    <xf numFmtId="0" fontId="11" fillId="0" borderId="1" xfId="0" applyFont="1" applyBorder="1" applyAlignment="1">
      <alignment horizontal="center"/>
    </xf>
    <xf numFmtId="0" fontId="11" fillId="10" borderId="7" xfId="0" applyFont="1" applyFill="1" applyBorder="1" applyAlignment="1">
      <alignment horizontal="left" wrapText="1"/>
    </xf>
    <xf numFmtId="49" fontId="12" fillId="10" borderId="1" xfId="0" applyNumberFormat="1" applyFont="1" applyFill="1" applyBorder="1" applyAlignment="1">
      <alignment horizontal="center" vertical="center"/>
    </xf>
    <xf numFmtId="49" fontId="12" fillId="10" borderId="1" xfId="0" applyNumberFormat="1" applyFont="1" applyFill="1" applyBorder="1" applyAlignment="1">
      <alignment horizontal="center" vertical="center" wrapText="1"/>
    </xf>
    <xf numFmtId="0" fontId="12" fillId="10" borderId="1" xfId="0" applyFont="1" applyFill="1" applyBorder="1"/>
    <xf numFmtId="0" fontId="13" fillId="11" borderId="2" xfId="0" applyFont="1" applyFill="1" applyBorder="1" applyAlignment="1">
      <alignment horizontal="left"/>
    </xf>
    <xf numFmtId="49" fontId="12" fillId="11" borderId="1" xfId="0" applyNumberFormat="1" applyFont="1" applyFill="1" applyBorder="1" applyAlignment="1">
      <alignment horizontal="left" vertical="center"/>
    </xf>
    <xf numFmtId="49" fontId="12" fillId="11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/>
    <xf numFmtId="0" fontId="14" fillId="0" borderId="2" xfId="0" applyFont="1" applyBorder="1" applyAlignment="1">
      <alignment horizontal="left"/>
    </xf>
    <xf numFmtId="166" fontId="12" fillId="0" borderId="1" xfId="0" applyNumberFormat="1" applyFont="1" applyBorder="1" applyAlignment="1">
      <alignment horizontal="left"/>
    </xf>
    <xf numFmtId="166" fontId="12" fillId="0" borderId="1" xfId="0" applyNumberFormat="1" applyFont="1" applyBorder="1"/>
    <xf numFmtId="166" fontId="15" fillId="0" borderId="1" xfId="0" applyNumberFormat="1" applyFont="1" applyBorder="1" applyAlignment="1">
      <alignment horizontal="left"/>
    </xf>
    <xf numFmtId="166" fontId="12" fillId="0" borderId="0" xfId="0" applyNumberFormat="1" applyFont="1"/>
    <xf numFmtId="0" fontId="14" fillId="0" borderId="2" xfId="0" applyFont="1" applyFill="1" applyBorder="1" applyAlignment="1">
      <alignment horizontal="left"/>
    </xf>
    <xf numFmtId="166" fontId="15" fillId="0" borderId="1" xfId="0" applyNumberFormat="1" applyFont="1" applyFill="1" applyBorder="1" applyAlignment="1">
      <alignment horizontal="left"/>
    </xf>
    <xf numFmtId="38" fontId="12" fillId="12" borderId="2" xfId="0" applyNumberFormat="1" applyFont="1" applyFill="1" applyBorder="1" applyAlignment="1">
      <alignment horizontal="left" vertical="center"/>
    </xf>
    <xf numFmtId="3" fontId="12" fillId="12" borderId="1" xfId="0" applyNumberFormat="1" applyFont="1" applyFill="1" applyBorder="1" applyAlignment="1">
      <alignment horizontal="left"/>
    </xf>
    <xf numFmtId="0" fontId="12" fillId="12" borderId="1" xfId="0" applyFont="1" applyFill="1" applyBorder="1"/>
    <xf numFmtId="0" fontId="14" fillId="13" borderId="2" xfId="0" applyFont="1" applyFill="1" applyBorder="1" applyAlignment="1">
      <alignment horizontal="left"/>
    </xf>
    <xf numFmtId="3" fontId="15" fillId="13" borderId="1" xfId="0" applyNumberFormat="1" applyFont="1" applyFill="1" applyBorder="1" applyAlignment="1">
      <alignment horizontal="left"/>
    </xf>
    <xf numFmtId="166" fontId="12" fillId="13" borderId="1" xfId="0" applyNumberFormat="1" applyFont="1" applyFill="1" applyBorder="1"/>
    <xf numFmtId="0" fontId="16" fillId="11" borderId="2" xfId="0" applyFont="1" applyFill="1" applyBorder="1" applyAlignment="1">
      <alignment horizontal="left"/>
    </xf>
    <xf numFmtId="3" fontId="15" fillId="11" borderId="1" xfId="0" applyNumberFormat="1" applyFont="1" applyFill="1" applyBorder="1" applyAlignment="1">
      <alignment horizontal="left"/>
    </xf>
    <xf numFmtId="0" fontId="12" fillId="13" borderId="1" xfId="0" applyFont="1" applyFill="1" applyBorder="1"/>
    <xf numFmtId="0" fontId="18" fillId="14" borderId="0" xfId="0" applyFont="1" applyFill="1"/>
    <xf numFmtId="0" fontId="18" fillId="0" borderId="0" xfId="0" applyFont="1"/>
    <xf numFmtId="165" fontId="18" fillId="0" borderId="0" xfId="4" applyNumberFormat="1" applyFont="1"/>
    <xf numFmtId="165" fontId="18" fillId="14" borderId="0" xfId="0" applyNumberFormat="1" applyFont="1" applyFill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</cellXfs>
  <cellStyles count="10">
    <cellStyle name="Comma" xfId="1" builtinId="3"/>
    <cellStyle name="Currency" xfId="4" builtinId="4"/>
    <cellStyle name="Followed Hyperlink" xfId="3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6" builtinId="8" hidden="1"/>
    <cellStyle name="Hyperlink" xfId="8" builtinId="8" hidden="1"/>
    <cellStyle name="Normal" xfId="0" builtinId="0"/>
    <cellStyle name="Percent" xfId="5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herine\Desktop\allocations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rect Cost Allocations"/>
      <sheetName val="Direct Program Accounts"/>
    </sheetNames>
    <sheetDataSet>
      <sheetData sheetId="0">
        <row r="15">
          <cell r="M15">
            <v>19350</v>
          </cell>
          <cell r="N15">
            <v>20250</v>
          </cell>
          <cell r="O15">
            <v>20950</v>
          </cell>
          <cell r="P15">
            <v>19750</v>
          </cell>
          <cell r="Q15">
            <v>147350</v>
          </cell>
          <cell r="R15">
            <v>26600</v>
          </cell>
          <cell r="S15">
            <v>35400</v>
          </cell>
          <cell r="T15">
            <v>44350</v>
          </cell>
        </row>
        <row r="25">
          <cell r="M25">
            <v>12880</v>
          </cell>
          <cell r="N25">
            <v>12880</v>
          </cell>
          <cell r="O25">
            <v>12880</v>
          </cell>
          <cell r="P25">
            <v>12880</v>
          </cell>
          <cell r="Q25">
            <v>12880</v>
          </cell>
          <cell r="R25">
            <v>8050</v>
          </cell>
          <cell r="S25">
            <v>1610</v>
          </cell>
          <cell r="T25">
            <v>6440</v>
          </cell>
        </row>
        <row r="31">
          <cell r="M31">
            <v>9600</v>
          </cell>
          <cell r="N31">
            <v>9600</v>
          </cell>
          <cell r="O31">
            <v>9600</v>
          </cell>
          <cell r="P31">
            <v>9600</v>
          </cell>
          <cell r="Q31">
            <v>9600</v>
          </cell>
          <cell r="R31">
            <v>6000</v>
          </cell>
          <cell r="S31">
            <v>1200</v>
          </cell>
          <cell r="T31">
            <v>4800</v>
          </cell>
        </row>
        <row r="39">
          <cell r="M39">
            <v>1440</v>
          </cell>
          <cell r="N39">
            <v>1440</v>
          </cell>
          <cell r="O39">
            <v>1440</v>
          </cell>
          <cell r="P39">
            <v>1440</v>
          </cell>
          <cell r="Q39">
            <v>1440</v>
          </cell>
          <cell r="R39">
            <v>900</v>
          </cell>
          <cell r="S39">
            <v>180</v>
          </cell>
          <cell r="T39">
            <v>720</v>
          </cell>
        </row>
        <row r="44">
          <cell r="M44">
            <v>4640</v>
          </cell>
          <cell r="N44">
            <v>4640</v>
          </cell>
          <cell r="O44">
            <v>4640</v>
          </cell>
          <cell r="P44">
            <v>4640</v>
          </cell>
          <cell r="Q44">
            <v>4640</v>
          </cell>
          <cell r="R44">
            <v>2900</v>
          </cell>
          <cell r="S44">
            <v>580</v>
          </cell>
          <cell r="T44">
            <v>2320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"/>
  <sheetViews>
    <sheetView topLeftCell="I7" workbookViewId="0">
      <selection activeCell="W38" sqref="W38"/>
    </sheetView>
  </sheetViews>
  <sheetFormatPr defaultColWidth="11" defaultRowHeight="15.75" x14ac:dyDescent="0.25"/>
  <cols>
    <col min="1" max="1" width="29.5" customWidth="1"/>
    <col min="2" max="2" width="11.375" bestFit="1" customWidth="1"/>
    <col min="3" max="3" width="11.125" bestFit="1" customWidth="1"/>
    <col min="4" max="5" width="11" bestFit="1" customWidth="1"/>
    <col min="6" max="7" width="11.125" bestFit="1" customWidth="1"/>
    <col min="8" max="15" width="11" bestFit="1" customWidth="1"/>
    <col min="16" max="16" width="11.375" bestFit="1" customWidth="1"/>
    <col min="17" max="17" width="11.125" bestFit="1" customWidth="1"/>
    <col min="18" max="21" width="11" bestFit="1" customWidth="1"/>
    <col min="22" max="22" width="11.375" bestFit="1" customWidth="1"/>
    <col min="23" max="23" width="12.125" customWidth="1"/>
    <col min="24" max="24" width="11.5" bestFit="1" customWidth="1"/>
    <col min="28" max="28" width="14.125" bestFit="1" customWidth="1"/>
  </cols>
  <sheetData>
    <row r="1" spans="1:40" ht="33" x14ac:dyDescent="0.3">
      <c r="A1" s="3" t="s">
        <v>37</v>
      </c>
      <c r="B1" s="96" t="s">
        <v>5</v>
      </c>
      <c r="C1" s="97"/>
      <c r="D1" s="96" t="s">
        <v>6</v>
      </c>
      <c r="E1" s="97"/>
      <c r="F1" s="96" t="s">
        <v>0</v>
      </c>
      <c r="G1" s="96"/>
      <c r="H1" s="96" t="s">
        <v>1</v>
      </c>
      <c r="I1" s="96"/>
      <c r="J1" s="96" t="s">
        <v>41</v>
      </c>
      <c r="K1" s="96"/>
      <c r="L1" s="98" t="s">
        <v>24</v>
      </c>
      <c r="M1" s="99"/>
      <c r="N1" s="96" t="s">
        <v>2</v>
      </c>
      <c r="O1" s="97"/>
      <c r="P1" s="96" t="s">
        <v>42</v>
      </c>
      <c r="Q1" s="98"/>
      <c r="R1" s="100" t="s">
        <v>3</v>
      </c>
      <c r="S1" s="101"/>
      <c r="T1" s="100" t="s">
        <v>4</v>
      </c>
      <c r="U1" s="102"/>
      <c r="V1" s="98" t="s">
        <v>7</v>
      </c>
      <c r="W1" s="99"/>
      <c r="X1" s="94" t="s">
        <v>8</v>
      </c>
      <c r="Y1" s="95"/>
      <c r="Z1" s="5"/>
      <c r="AA1" s="4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</row>
    <row r="2" spans="1:40" ht="16.5" x14ac:dyDescent="0.3">
      <c r="A2" s="6" t="s">
        <v>9</v>
      </c>
      <c r="B2" s="7">
        <v>2012</v>
      </c>
      <c r="C2" s="7">
        <v>2013</v>
      </c>
      <c r="D2" s="7">
        <v>2012</v>
      </c>
      <c r="E2" s="7">
        <v>2013</v>
      </c>
      <c r="F2" s="7">
        <v>2012</v>
      </c>
      <c r="G2" s="7">
        <v>2013</v>
      </c>
      <c r="H2" s="7">
        <v>2012</v>
      </c>
      <c r="I2" s="7">
        <v>2013</v>
      </c>
      <c r="J2" s="7">
        <v>2012</v>
      </c>
      <c r="K2" s="7">
        <v>2013</v>
      </c>
      <c r="L2" s="7">
        <v>2012</v>
      </c>
      <c r="M2" s="7">
        <v>2013</v>
      </c>
      <c r="N2" s="7">
        <v>2012</v>
      </c>
      <c r="O2" s="7">
        <v>2013</v>
      </c>
      <c r="P2" s="7">
        <v>2012</v>
      </c>
      <c r="Q2" s="7">
        <v>2013</v>
      </c>
      <c r="R2" s="8">
        <v>2012</v>
      </c>
      <c r="S2" s="8">
        <v>2013</v>
      </c>
      <c r="T2" s="8">
        <v>2012</v>
      </c>
      <c r="U2" s="8">
        <v>2013</v>
      </c>
      <c r="V2" s="8">
        <v>2012</v>
      </c>
      <c r="W2" s="8">
        <v>2013</v>
      </c>
      <c r="X2" s="9">
        <v>2012</v>
      </c>
      <c r="Y2" s="9">
        <v>2013</v>
      </c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</row>
    <row r="3" spans="1:40" ht="16.5" x14ac:dyDescent="0.3">
      <c r="A3" s="10" t="s">
        <v>16</v>
      </c>
      <c r="B3" s="18"/>
      <c r="C3" s="18"/>
      <c r="D3" s="18"/>
      <c r="E3" s="18"/>
      <c r="F3" s="18"/>
      <c r="G3" s="18"/>
      <c r="H3" s="18"/>
      <c r="I3" s="18"/>
      <c r="J3" s="18"/>
      <c r="K3" s="19"/>
      <c r="L3" s="25"/>
      <c r="M3" s="25"/>
      <c r="N3" s="25"/>
      <c r="O3" s="25"/>
      <c r="P3" s="25"/>
      <c r="Q3" s="25"/>
      <c r="R3" s="26"/>
      <c r="S3" s="26"/>
      <c r="T3" s="26"/>
      <c r="U3" s="26"/>
      <c r="V3" s="26"/>
      <c r="W3" s="26"/>
      <c r="X3" s="26"/>
      <c r="Y3" s="2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</row>
    <row r="4" spans="1:40" ht="16.5" x14ac:dyDescent="0.3">
      <c r="A4" s="27" t="s">
        <v>15</v>
      </c>
      <c r="B4" s="20">
        <v>38100</v>
      </c>
      <c r="C4" s="57">
        <f>11000+1000+1000+18000</f>
        <v>31000</v>
      </c>
      <c r="D4" s="20">
        <v>6500</v>
      </c>
      <c r="E4" s="32">
        <f>1800+500</f>
        <v>2300</v>
      </c>
      <c r="F4" s="20">
        <v>85000</v>
      </c>
      <c r="G4" s="33">
        <f>86000+500+300</f>
        <v>86800</v>
      </c>
      <c r="H4" s="20">
        <v>6500</v>
      </c>
      <c r="I4" s="57">
        <f>3750+300+10000</f>
        <v>14050</v>
      </c>
      <c r="J4" s="20">
        <v>40000</v>
      </c>
      <c r="K4" s="57">
        <f>10400+500+1500+15000+6000</f>
        <v>33400</v>
      </c>
      <c r="L4" s="21">
        <v>25000</v>
      </c>
      <c r="M4" s="32">
        <v>5500</v>
      </c>
      <c r="N4" s="21">
        <v>5000</v>
      </c>
      <c r="O4" s="32">
        <v>2700</v>
      </c>
      <c r="P4" s="21">
        <f>SUM(B4+D4+F4+H4+J4+L4+N4)</f>
        <v>206100</v>
      </c>
      <c r="Q4" s="21">
        <f>SUM(C4+E4+G4+I4+K4+M4+O4)</f>
        <v>175750</v>
      </c>
      <c r="R4" s="22">
        <v>10000</v>
      </c>
      <c r="S4" s="22">
        <f>7000+'[1]Indirect Cost Allocations'!$T$44</f>
        <v>9320</v>
      </c>
      <c r="T4" s="22">
        <v>2000</v>
      </c>
      <c r="U4" s="22">
        <f>2000+'[1]Indirect Cost Allocations'!$S$44</f>
        <v>2580</v>
      </c>
      <c r="V4" s="22">
        <f>SUM(R4+T4)</f>
        <v>12000</v>
      </c>
      <c r="W4" s="22">
        <f>SUM(S4+U4)</f>
        <v>11900</v>
      </c>
      <c r="X4" s="22">
        <f>V4+P4</f>
        <v>218100</v>
      </c>
      <c r="Y4" s="22">
        <f>SUM(Q4+W4)</f>
        <v>187650</v>
      </c>
      <c r="Z4" s="34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0" ht="33" x14ac:dyDescent="0.3">
      <c r="A5" s="27" t="s">
        <v>34</v>
      </c>
      <c r="B5" s="20">
        <v>1800</v>
      </c>
      <c r="C5" s="32">
        <f>2000+1500+5000</f>
        <v>8500</v>
      </c>
      <c r="D5" s="20">
        <v>150</v>
      </c>
      <c r="E5" s="32">
        <f>100+50</f>
        <v>150</v>
      </c>
      <c r="F5" s="20">
        <v>6000</v>
      </c>
      <c r="G5" s="32">
        <f>1000+1500+3000</f>
        <v>5500</v>
      </c>
      <c r="H5" s="20">
        <v>500</v>
      </c>
      <c r="I5" s="32">
        <f>500+800</f>
        <v>1300</v>
      </c>
      <c r="J5" s="20">
        <v>2200</v>
      </c>
      <c r="K5" s="32">
        <v>3500</v>
      </c>
      <c r="L5" s="21">
        <v>1000</v>
      </c>
      <c r="M5" s="32">
        <v>3000</v>
      </c>
      <c r="N5" s="21">
        <v>100</v>
      </c>
      <c r="O5" s="32">
        <v>300</v>
      </c>
      <c r="P5" s="21">
        <f t="shared" ref="P5:P11" si="0">SUM(B5+D5+F5+H5+J5+L5+N5)</f>
        <v>11750</v>
      </c>
      <c r="Q5" s="21">
        <f t="shared" ref="Q5:Q13" si="1">SUM(C5+E5+G5+I5+K5+M5+O5)</f>
        <v>22250</v>
      </c>
      <c r="R5" s="22">
        <v>1799</v>
      </c>
      <c r="S5" s="22">
        <v>2000</v>
      </c>
      <c r="T5" s="22">
        <v>4000</v>
      </c>
      <c r="U5" s="22">
        <v>1000</v>
      </c>
      <c r="V5" s="22">
        <f t="shared" ref="V5:W20" si="2">SUM(R5+T5)</f>
        <v>5799</v>
      </c>
      <c r="W5" s="22">
        <f t="shared" ref="W5:W12" si="3">SUM(S5+U5)</f>
        <v>3000</v>
      </c>
      <c r="X5" s="22">
        <f>V5+P5</f>
        <v>17549</v>
      </c>
      <c r="Y5" s="22">
        <f t="shared" ref="Y5:Y12" si="4">SUM(Q5+W5)</f>
        <v>25250</v>
      </c>
      <c r="Z5" s="34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</row>
    <row r="6" spans="1:40" ht="16.5" x14ac:dyDescent="0.3">
      <c r="A6" s="27" t="s">
        <v>10</v>
      </c>
      <c r="B6" s="20">
        <v>6416</v>
      </c>
      <c r="C6" s="32">
        <v>11000</v>
      </c>
      <c r="D6" s="20">
        <v>2513</v>
      </c>
      <c r="E6" s="32">
        <v>4500</v>
      </c>
      <c r="F6" s="20">
        <v>5000</v>
      </c>
      <c r="G6" s="32">
        <v>5000</v>
      </c>
      <c r="H6" s="20">
        <v>2000</v>
      </c>
      <c r="I6" s="32">
        <v>0</v>
      </c>
      <c r="J6" s="20">
        <v>4000</v>
      </c>
      <c r="K6" s="32">
        <v>5000</v>
      </c>
      <c r="L6" s="21">
        <v>8000</v>
      </c>
      <c r="M6" s="32">
        <v>2000</v>
      </c>
      <c r="N6" s="21">
        <v>2500</v>
      </c>
      <c r="O6" s="32">
        <v>500</v>
      </c>
      <c r="P6" s="21">
        <f t="shared" si="0"/>
        <v>30429</v>
      </c>
      <c r="Q6" s="21">
        <f t="shared" si="1"/>
        <v>28000</v>
      </c>
      <c r="R6" s="22">
        <v>4271</v>
      </c>
      <c r="S6" s="22"/>
      <c r="T6" s="22">
        <v>2000</v>
      </c>
      <c r="U6" s="22"/>
      <c r="V6" s="22">
        <f t="shared" si="2"/>
        <v>6271</v>
      </c>
      <c r="W6" s="22">
        <f t="shared" si="3"/>
        <v>0</v>
      </c>
      <c r="X6" s="22">
        <f t="shared" ref="X6:X12" si="5">V6+P6</f>
        <v>36700</v>
      </c>
      <c r="Y6" s="22">
        <f t="shared" si="4"/>
        <v>28000</v>
      </c>
      <c r="Z6" s="34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ht="16.5" x14ac:dyDescent="0.3">
      <c r="A7" s="27" t="s">
        <v>11</v>
      </c>
      <c r="B7" s="20"/>
      <c r="C7" s="32">
        <v>1800</v>
      </c>
      <c r="D7" s="20"/>
      <c r="E7" s="32">
        <v>140</v>
      </c>
      <c r="F7" s="20"/>
      <c r="G7" s="32">
        <v>1800</v>
      </c>
      <c r="H7" s="20"/>
      <c r="I7" s="32">
        <v>1200</v>
      </c>
      <c r="J7" s="20"/>
      <c r="K7" s="32">
        <v>1800</v>
      </c>
      <c r="L7" s="21"/>
      <c r="M7" s="32">
        <v>10000</v>
      </c>
      <c r="N7" s="21"/>
      <c r="O7" s="32">
        <v>1000</v>
      </c>
      <c r="P7" s="21">
        <f t="shared" si="0"/>
        <v>0</v>
      </c>
      <c r="Q7" s="21">
        <f t="shared" si="1"/>
        <v>17740</v>
      </c>
      <c r="R7" s="22"/>
      <c r="S7" s="22"/>
      <c r="T7" s="22"/>
      <c r="U7" s="22"/>
      <c r="V7" s="22">
        <f t="shared" si="2"/>
        <v>0</v>
      </c>
      <c r="W7" s="22">
        <f t="shared" si="3"/>
        <v>0</v>
      </c>
      <c r="X7" s="22">
        <f t="shared" si="5"/>
        <v>0</v>
      </c>
      <c r="Y7" s="22">
        <f t="shared" si="4"/>
        <v>17740</v>
      </c>
      <c r="Z7" s="34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</row>
    <row r="8" spans="1:40" ht="16.5" x14ac:dyDescent="0.3">
      <c r="A8" s="27" t="s">
        <v>12</v>
      </c>
      <c r="B8" s="21"/>
      <c r="C8" s="32">
        <v>2000</v>
      </c>
      <c r="D8" s="21"/>
      <c r="E8" s="32">
        <v>75</v>
      </c>
      <c r="F8" s="21">
        <v>6721</v>
      </c>
      <c r="G8" s="32">
        <v>9100</v>
      </c>
      <c r="H8" s="21">
        <v>6720</v>
      </c>
      <c r="I8" s="32">
        <v>1000</v>
      </c>
      <c r="J8" s="21">
        <v>6721</v>
      </c>
      <c r="K8" s="32">
        <v>1800</v>
      </c>
      <c r="L8" s="21">
        <v>2150</v>
      </c>
      <c r="M8" s="32">
        <v>1000</v>
      </c>
      <c r="N8" s="21">
        <v>4371</v>
      </c>
      <c r="O8" s="32">
        <v>0</v>
      </c>
      <c r="P8" s="21">
        <f t="shared" si="0"/>
        <v>26683</v>
      </c>
      <c r="Q8" s="21">
        <f t="shared" si="1"/>
        <v>14975</v>
      </c>
      <c r="R8" s="22">
        <v>6648</v>
      </c>
      <c r="S8" s="22"/>
      <c r="T8" s="22">
        <v>6721</v>
      </c>
      <c r="U8" s="22"/>
      <c r="V8" s="22">
        <f t="shared" si="2"/>
        <v>13369</v>
      </c>
      <c r="W8" s="22">
        <f t="shared" si="3"/>
        <v>0</v>
      </c>
      <c r="X8" s="22">
        <f t="shared" si="5"/>
        <v>40052</v>
      </c>
      <c r="Y8" s="22">
        <f t="shared" si="4"/>
        <v>14975</v>
      </c>
      <c r="Z8" s="34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</row>
    <row r="9" spans="1:40" ht="16.5" x14ac:dyDescent="0.3">
      <c r="A9" s="27" t="s">
        <v>13</v>
      </c>
      <c r="B9" s="21"/>
      <c r="C9" s="32">
        <v>2000</v>
      </c>
      <c r="D9" s="21"/>
      <c r="E9" s="32">
        <v>100</v>
      </c>
      <c r="F9" s="21"/>
      <c r="G9" s="32">
        <v>2000</v>
      </c>
      <c r="H9" s="21"/>
      <c r="I9" s="32">
        <v>1000</v>
      </c>
      <c r="J9" s="21"/>
      <c r="K9" s="32">
        <v>2000</v>
      </c>
      <c r="L9" s="21"/>
      <c r="M9" s="32">
        <v>1000</v>
      </c>
      <c r="N9" s="21"/>
      <c r="O9" s="32">
        <v>1000</v>
      </c>
      <c r="P9" s="21">
        <f t="shared" si="0"/>
        <v>0</v>
      </c>
      <c r="Q9" s="21">
        <f t="shared" si="1"/>
        <v>9100</v>
      </c>
      <c r="R9" s="22"/>
      <c r="S9" s="22"/>
      <c r="T9" s="22"/>
      <c r="U9" s="22"/>
      <c r="V9" s="22">
        <f t="shared" si="2"/>
        <v>0</v>
      </c>
      <c r="W9" s="22">
        <f t="shared" si="3"/>
        <v>0</v>
      </c>
      <c r="X9" s="22">
        <f t="shared" si="5"/>
        <v>0</v>
      </c>
      <c r="Y9" s="22">
        <f t="shared" si="4"/>
        <v>9100</v>
      </c>
      <c r="Z9" s="34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</row>
    <row r="10" spans="1:40" ht="16.5" x14ac:dyDescent="0.3">
      <c r="A10" s="59" t="s">
        <v>43</v>
      </c>
      <c r="B10" s="21">
        <v>500</v>
      </c>
      <c r="C10" s="32">
        <v>1000</v>
      </c>
      <c r="D10" s="21"/>
      <c r="E10" s="32">
        <v>100</v>
      </c>
      <c r="F10" s="21">
        <v>500</v>
      </c>
      <c r="G10" s="32">
        <v>1000</v>
      </c>
      <c r="H10" s="21">
        <v>500</v>
      </c>
      <c r="I10" s="32">
        <v>500</v>
      </c>
      <c r="J10" s="21">
        <v>500</v>
      </c>
      <c r="K10" s="32">
        <v>500</v>
      </c>
      <c r="L10" s="21">
        <v>400</v>
      </c>
      <c r="M10" s="32">
        <v>2000</v>
      </c>
      <c r="N10" s="21">
        <v>1500</v>
      </c>
      <c r="O10" s="32">
        <v>0</v>
      </c>
      <c r="P10" s="21">
        <f t="shared" si="0"/>
        <v>3900</v>
      </c>
      <c r="Q10" s="21">
        <f t="shared" si="1"/>
        <v>5100</v>
      </c>
      <c r="R10" s="22">
        <v>500</v>
      </c>
      <c r="S10" s="22">
        <f>'[1]Indirect Cost Allocations'!$T$39</f>
        <v>720</v>
      </c>
      <c r="T10" s="22">
        <v>500</v>
      </c>
      <c r="U10" s="22">
        <f>'[1]Indirect Cost Allocations'!$S$39</f>
        <v>180</v>
      </c>
      <c r="V10" s="22">
        <f t="shared" si="2"/>
        <v>1000</v>
      </c>
      <c r="W10" s="22">
        <f t="shared" si="3"/>
        <v>900</v>
      </c>
      <c r="X10" s="22">
        <f t="shared" si="5"/>
        <v>4900</v>
      </c>
      <c r="Y10" s="22">
        <f t="shared" si="4"/>
        <v>6000</v>
      </c>
      <c r="Z10" s="34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1:40" ht="16.5" x14ac:dyDescent="0.3">
      <c r="A11" s="27" t="s">
        <v>14</v>
      </c>
      <c r="B11" s="21">
        <v>53708</v>
      </c>
      <c r="C11" s="33">
        <v>79000</v>
      </c>
      <c r="D11" s="21">
        <v>1000</v>
      </c>
      <c r="E11" s="32">
        <v>3512</v>
      </c>
      <c r="F11" s="21">
        <v>75000</v>
      </c>
      <c r="G11" s="32">
        <v>108000</v>
      </c>
      <c r="H11" s="21">
        <v>6500</v>
      </c>
      <c r="I11" s="32">
        <v>15000</v>
      </c>
      <c r="J11" s="21">
        <v>30000</v>
      </c>
      <c r="K11" s="32">
        <v>55000</v>
      </c>
      <c r="L11" s="21">
        <v>40450</v>
      </c>
      <c r="M11" s="32">
        <v>40000</v>
      </c>
      <c r="N11" s="21">
        <v>7500</v>
      </c>
      <c r="O11" s="32">
        <v>12000</v>
      </c>
      <c r="P11" s="21">
        <f t="shared" si="0"/>
        <v>214158</v>
      </c>
      <c r="Q11" s="21">
        <f t="shared" si="1"/>
        <v>312512</v>
      </c>
      <c r="R11" s="22">
        <v>39350</v>
      </c>
      <c r="S11" s="22">
        <f>'[1]Indirect Cost Allocations'!$T$15</f>
        <v>44350</v>
      </c>
      <c r="T11" s="22">
        <v>22300</v>
      </c>
      <c r="U11" s="22">
        <f>'[1]Indirect Cost Allocations'!$S$15</f>
        <v>35400</v>
      </c>
      <c r="V11" s="22">
        <f t="shared" si="2"/>
        <v>61650</v>
      </c>
      <c r="W11" s="22">
        <f t="shared" si="3"/>
        <v>79750</v>
      </c>
      <c r="X11" s="22">
        <f t="shared" si="5"/>
        <v>275808</v>
      </c>
      <c r="Y11" s="22">
        <f t="shared" si="4"/>
        <v>392262</v>
      </c>
      <c r="Z11" s="34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</row>
    <row r="12" spans="1:40" ht="16.5" x14ac:dyDescent="0.3">
      <c r="A12" s="27" t="s">
        <v>30</v>
      </c>
      <c r="B12" s="21"/>
      <c r="C12" s="33">
        <v>6000</v>
      </c>
      <c r="D12" s="21"/>
      <c r="E12" s="32">
        <v>1000</v>
      </c>
      <c r="F12" s="21"/>
      <c r="G12" s="32">
        <v>10000</v>
      </c>
      <c r="H12" s="21"/>
      <c r="I12" s="32">
        <v>1000</v>
      </c>
      <c r="J12" s="21"/>
      <c r="K12" s="32">
        <v>10000</v>
      </c>
      <c r="L12" s="21"/>
      <c r="M12" s="32">
        <v>10000</v>
      </c>
      <c r="N12" s="21"/>
      <c r="O12" s="32">
        <v>1000</v>
      </c>
      <c r="P12" s="21"/>
      <c r="Q12" s="21">
        <f t="shared" si="1"/>
        <v>39000</v>
      </c>
      <c r="R12" s="22"/>
      <c r="S12" s="22">
        <f>'[1]Indirect Cost Allocations'!$T$25</f>
        <v>6440</v>
      </c>
      <c r="T12" s="22"/>
      <c r="U12" s="22">
        <f>'[1]Indirect Cost Allocations'!$S$25</f>
        <v>1610</v>
      </c>
      <c r="V12" s="22"/>
      <c r="W12" s="22">
        <f t="shared" si="3"/>
        <v>8050</v>
      </c>
      <c r="X12" s="22">
        <f t="shared" si="5"/>
        <v>0</v>
      </c>
      <c r="Y12" s="22">
        <f t="shared" si="4"/>
        <v>47050</v>
      </c>
      <c r="Z12" s="34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</row>
    <row r="13" spans="1:40" ht="16.5" x14ac:dyDescent="0.3">
      <c r="A13" s="15" t="s">
        <v>28</v>
      </c>
      <c r="B13" s="23">
        <f t="shared" ref="B13:L13" si="6">SUM(B4:B11)</f>
        <v>100524</v>
      </c>
      <c r="C13" s="23">
        <f>SUM(C4:C12)</f>
        <v>142300</v>
      </c>
      <c r="D13" s="23">
        <f t="shared" si="6"/>
        <v>10163</v>
      </c>
      <c r="E13" s="23">
        <f>SUM(E4:E12)</f>
        <v>11877</v>
      </c>
      <c r="F13" s="23">
        <f t="shared" si="6"/>
        <v>178221</v>
      </c>
      <c r="G13" s="23">
        <f>SUM(G4:G12)</f>
        <v>229200</v>
      </c>
      <c r="H13" s="23">
        <f t="shared" si="6"/>
        <v>22720</v>
      </c>
      <c r="I13" s="23">
        <f>SUM(I4:I12)</f>
        <v>35050</v>
      </c>
      <c r="J13" s="23">
        <f t="shared" si="6"/>
        <v>83421</v>
      </c>
      <c r="K13" s="23">
        <f>SUM(K4:K12)</f>
        <v>113000</v>
      </c>
      <c r="L13" s="23">
        <f t="shared" si="6"/>
        <v>77000</v>
      </c>
      <c r="M13" s="23">
        <f>SUM(M4:M12)</f>
        <v>74500</v>
      </c>
      <c r="N13" s="23">
        <f>SUM(N4:N11)</f>
        <v>20971</v>
      </c>
      <c r="O13" s="23">
        <f>SUM(O4:O11)</f>
        <v>17500</v>
      </c>
      <c r="P13" s="23">
        <f>SUM(P4:P11)</f>
        <v>493020</v>
      </c>
      <c r="Q13" s="23">
        <f t="shared" si="1"/>
        <v>623427</v>
      </c>
      <c r="R13" s="24">
        <f>SUM(R4:R11)</f>
        <v>62568</v>
      </c>
      <c r="S13" s="24">
        <f>SUM(S4:S11)</f>
        <v>56390</v>
      </c>
      <c r="T13" s="24">
        <f>SUM(T4:T11)</f>
        <v>37521</v>
      </c>
      <c r="U13" s="24">
        <f>SUM(U4:U11)</f>
        <v>39160</v>
      </c>
      <c r="V13" s="24">
        <f t="shared" si="2"/>
        <v>100089</v>
      </c>
      <c r="W13" s="24">
        <f t="shared" si="2"/>
        <v>95550</v>
      </c>
      <c r="X13" s="24">
        <f>SUM(X4:X12)</f>
        <v>593109</v>
      </c>
      <c r="Y13" s="24">
        <f>SUM(Y4:Y12)</f>
        <v>728027</v>
      </c>
      <c r="Z13" s="34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0" ht="16.5" x14ac:dyDescent="0.3">
      <c r="A14" s="11" t="s">
        <v>29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9"/>
      <c r="S14" s="29"/>
      <c r="T14" s="29"/>
      <c r="U14" s="29"/>
      <c r="V14" s="29"/>
      <c r="W14" s="29"/>
      <c r="X14" s="29"/>
      <c r="Y14" s="29"/>
      <c r="Z14" s="34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1:40" ht="16.5" x14ac:dyDescent="0.3">
      <c r="A15" s="2" t="s">
        <v>17</v>
      </c>
      <c r="B15" s="21">
        <v>8082</v>
      </c>
      <c r="C15" s="21">
        <f>'[1]Indirect Cost Allocations'!$M$25</f>
        <v>12880</v>
      </c>
      <c r="D15" s="21" t="s">
        <v>31</v>
      </c>
      <c r="E15" s="21" t="s">
        <v>31</v>
      </c>
      <c r="F15" s="21">
        <v>10082</v>
      </c>
      <c r="G15" s="21">
        <f>'[1]Indirect Cost Allocations'!$N$25</f>
        <v>12880</v>
      </c>
      <c r="H15" s="21">
        <v>10082</v>
      </c>
      <c r="I15" s="21">
        <f>'[1]Indirect Cost Allocations'!$P$25</f>
        <v>12880</v>
      </c>
      <c r="J15" s="21">
        <v>10082</v>
      </c>
      <c r="K15" s="21">
        <f>'[1]Indirect Cost Allocations'!$O$25</f>
        <v>12880</v>
      </c>
      <c r="L15" s="21">
        <v>3525</v>
      </c>
      <c r="M15" s="21">
        <f>'[1]Indirect Cost Allocations'!$Q$25</f>
        <v>12880</v>
      </c>
      <c r="N15" s="21">
        <v>4371</v>
      </c>
      <c r="O15" s="21">
        <f>'[1]Indirect Cost Allocations'!$R$25</f>
        <v>8050</v>
      </c>
      <c r="P15" s="21">
        <f>SUM(B15+F15+H15+J15+L15+N15)</f>
        <v>46224</v>
      </c>
      <c r="Q15" s="21">
        <f>SUM(C15+G15+I15+K15+M15+O15)</f>
        <v>72450</v>
      </c>
      <c r="R15" s="22">
        <v>10438</v>
      </c>
      <c r="S15" s="22"/>
      <c r="T15" s="22">
        <v>9727</v>
      </c>
      <c r="U15" s="22">
        <f>'[1]Indirect Cost Allocations'!$S$25</f>
        <v>1610</v>
      </c>
      <c r="V15" s="22">
        <f t="shared" si="2"/>
        <v>20165</v>
      </c>
      <c r="W15" s="22">
        <f>SUM(S15+U15)</f>
        <v>1610</v>
      </c>
      <c r="X15" s="22">
        <f>SUM(P15+V15)</f>
        <v>66389</v>
      </c>
      <c r="Y15" s="22">
        <f>SUM(Q15+W15)</f>
        <v>74060</v>
      </c>
      <c r="Z15" s="34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ht="16.5" x14ac:dyDescent="0.3">
      <c r="A16" s="2" t="s">
        <v>18</v>
      </c>
      <c r="B16" s="21">
        <v>4719</v>
      </c>
      <c r="C16" s="21">
        <f>'[1]Indirect Cost Allocations'!$M$44</f>
        <v>4640</v>
      </c>
      <c r="D16" s="21"/>
      <c r="E16" s="21"/>
      <c r="F16" s="21">
        <v>4719</v>
      </c>
      <c r="G16" s="21">
        <f>'[1]Indirect Cost Allocations'!$N$44</f>
        <v>4640</v>
      </c>
      <c r="H16" s="21">
        <v>4719</v>
      </c>
      <c r="I16" s="21">
        <f>'[1]Indirect Cost Allocations'!$P$44</f>
        <v>4640</v>
      </c>
      <c r="J16" s="21">
        <v>3283</v>
      </c>
      <c r="K16" s="21">
        <f>'[1]Indirect Cost Allocations'!$O$44</f>
        <v>4640</v>
      </c>
      <c r="L16" s="21">
        <v>1650</v>
      </c>
      <c r="M16" s="21">
        <f>'[1]Indirect Cost Allocations'!$Q$44</f>
        <v>4640</v>
      </c>
      <c r="N16" s="21">
        <v>3069</v>
      </c>
      <c r="O16" s="21">
        <f>'[1]Indirect Cost Allocations'!$R$44</f>
        <v>2900</v>
      </c>
      <c r="P16" s="21">
        <f t="shared" ref="P16:P19" si="7">SUM(B16+F16+H16+J16+L16+N16)</f>
        <v>22159</v>
      </c>
      <c r="Q16" s="21">
        <f t="shared" ref="Q16:Q19" si="8">SUM(C16+G16+I16+K16+M16+O16)</f>
        <v>26100</v>
      </c>
      <c r="R16" s="22">
        <v>4686</v>
      </c>
      <c r="S16" s="22"/>
      <c r="T16" s="22">
        <v>4702</v>
      </c>
      <c r="U16" s="22"/>
      <c r="V16" s="22">
        <f t="shared" si="2"/>
        <v>9388</v>
      </c>
      <c r="W16" s="22">
        <f t="shared" ref="W16:W19" si="9">SUM(S16+U16)</f>
        <v>0</v>
      </c>
      <c r="X16" s="22">
        <f t="shared" ref="X16:X19" si="10">SUM(P16+V16)</f>
        <v>31547</v>
      </c>
      <c r="Y16" s="22">
        <f t="shared" ref="Y16:Y19" si="11">SUM(Q16+W16)</f>
        <v>26100</v>
      </c>
      <c r="Z16" s="34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</row>
    <row r="17" spans="1:40" ht="16.5" x14ac:dyDescent="0.3">
      <c r="A17" s="2" t="s">
        <v>19</v>
      </c>
      <c r="B17" s="21"/>
      <c r="C17" s="21">
        <f>'[1]Indirect Cost Allocations'!$M$31</f>
        <v>9600</v>
      </c>
      <c r="D17" s="21"/>
      <c r="E17" s="21"/>
      <c r="F17" s="21"/>
      <c r="G17" s="21">
        <f>'[1]Indirect Cost Allocations'!$N$31</f>
        <v>9600</v>
      </c>
      <c r="H17" s="21"/>
      <c r="I17" s="21">
        <f>'[1]Indirect Cost Allocations'!$P$31</f>
        <v>9600</v>
      </c>
      <c r="J17" s="21"/>
      <c r="K17" s="21">
        <f>'[1]Indirect Cost Allocations'!$O$31</f>
        <v>9600</v>
      </c>
      <c r="L17" s="21"/>
      <c r="M17" s="21">
        <f>'[1]Indirect Cost Allocations'!$Q$31</f>
        <v>9600</v>
      </c>
      <c r="N17" s="21"/>
      <c r="O17" s="21">
        <f>'[1]Indirect Cost Allocations'!$R$31</f>
        <v>6000</v>
      </c>
      <c r="P17" s="21">
        <f t="shared" si="7"/>
        <v>0</v>
      </c>
      <c r="Q17" s="21">
        <f t="shared" si="8"/>
        <v>54000</v>
      </c>
      <c r="R17" s="22"/>
      <c r="S17" s="22">
        <f>'[1]Indirect Cost Allocations'!$T$31</f>
        <v>4800</v>
      </c>
      <c r="T17" s="22"/>
      <c r="U17" s="22">
        <f>'[1]Indirect Cost Allocations'!$S$31</f>
        <v>1200</v>
      </c>
      <c r="V17" s="22">
        <f t="shared" si="2"/>
        <v>0</v>
      </c>
      <c r="W17" s="22">
        <f t="shared" si="9"/>
        <v>6000</v>
      </c>
      <c r="X17" s="22">
        <f t="shared" si="10"/>
        <v>0</v>
      </c>
      <c r="Y17" s="22">
        <f t="shared" si="11"/>
        <v>60000</v>
      </c>
      <c r="Z17" s="34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 ht="16.5" x14ac:dyDescent="0.3">
      <c r="A18" s="2" t="s">
        <v>43</v>
      </c>
      <c r="B18" s="21"/>
      <c r="C18" s="21">
        <f>'[1]Indirect Cost Allocations'!$M$39</f>
        <v>1440</v>
      </c>
      <c r="D18" s="21"/>
      <c r="E18" s="21"/>
      <c r="F18" s="21"/>
      <c r="G18" s="21">
        <f>'[1]Indirect Cost Allocations'!$N$39</f>
        <v>1440</v>
      </c>
      <c r="H18" s="21"/>
      <c r="I18" s="21">
        <f>'[1]Indirect Cost Allocations'!$P$39</f>
        <v>1440</v>
      </c>
      <c r="J18" s="21"/>
      <c r="K18" s="21">
        <f>'[1]Indirect Cost Allocations'!$O$39</f>
        <v>1440</v>
      </c>
      <c r="L18" s="21"/>
      <c r="M18" s="21">
        <f>'[1]Indirect Cost Allocations'!$Q$39</f>
        <v>1440</v>
      </c>
      <c r="N18" s="21"/>
      <c r="O18" s="21">
        <f>'[1]Indirect Cost Allocations'!$R$39</f>
        <v>900</v>
      </c>
      <c r="P18" s="21"/>
      <c r="Q18" s="21">
        <f t="shared" si="8"/>
        <v>8100</v>
      </c>
      <c r="R18" s="22"/>
      <c r="S18" s="22"/>
      <c r="T18" s="22"/>
      <c r="U18" s="22"/>
      <c r="V18" s="22"/>
      <c r="W18" s="22">
        <f t="shared" si="9"/>
        <v>0</v>
      </c>
      <c r="X18" s="22">
        <f t="shared" si="10"/>
        <v>0</v>
      </c>
      <c r="Y18" s="22">
        <f t="shared" si="11"/>
        <v>8100</v>
      </c>
      <c r="Z18" s="34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</row>
    <row r="19" spans="1:40" ht="16.5" x14ac:dyDescent="0.3">
      <c r="A19" s="12" t="s">
        <v>20</v>
      </c>
      <c r="B19" s="22">
        <v>13725</v>
      </c>
      <c r="C19" s="22">
        <f>'[1]Indirect Cost Allocations'!$M$15</f>
        <v>19350</v>
      </c>
      <c r="D19" s="22"/>
      <c r="E19" s="22"/>
      <c r="F19" s="22">
        <v>22650</v>
      </c>
      <c r="G19" s="22">
        <f>'[1]Indirect Cost Allocations'!$N$15</f>
        <v>20250</v>
      </c>
      <c r="H19" s="22">
        <v>23375</v>
      </c>
      <c r="I19" s="22">
        <f>'[1]Indirect Cost Allocations'!$P$15</f>
        <v>19750</v>
      </c>
      <c r="J19" s="22">
        <v>24374</v>
      </c>
      <c r="K19" s="22">
        <f>'[1]Indirect Cost Allocations'!$O$1+'[1]Indirect Cost Allocations'!$O$1+'[1]Indirect Cost Allocations'!$O$15</f>
        <v>20950</v>
      </c>
      <c r="L19" s="22"/>
      <c r="M19" s="22">
        <f>'[1]Indirect Cost Allocations'!$Q$15</f>
        <v>147350</v>
      </c>
      <c r="N19" s="22">
        <v>24625</v>
      </c>
      <c r="O19" s="22">
        <f>'[1]Indirect Cost Allocations'!$R$15</f>
        <v>26600</v>
      </c>
      <c r="P19" s="21">
        <f t="shared" si="7"/>
        <v>108749</v>
      </c>
      <c r="Q19" s="21">
        <f t="shared" si="8"/>
        <v>254250</v>
      </c>
      <c r="R19" s="22"/>
      <c r="S19" s="22"/>
      <c r="T19" s="22"/>
      <c r="U19" s="22"/>
      <c r="V19" s="22">
        <f t="shared" si="2"/>
        <v>0</v>
      </c>
      <c r="W19" s="22">
        <f t="shared" si="9"/>
        <v>0</v>
      </c>
      <c r="X19" s="22">
        <f t="shared" si="10"/>
        <v>108749</v>
      </c>
      <c r="Y19" s="22">
        <f t="shared" si="11"/>
        <v>254250</v>
      </c>
      <c r="Z19" s="34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0" ht="16.5" x14ac:dyDescent="0.3">
      <c r="A20" s="14" t="s">
        <v>21</v>
      </c>
      <c r="B20" s="24">
        <f>SUM(B15:B19)</f>
        <v>26526</v>
      </c>
      <c r="C20" s="24">
        <f>SUM(C15:C19)</f>
        <v>47910</v>
      </c>
      <c r="D20" s="24">
        <f t="shared" ref="D20:F20" si="12">SUM(D15:D19)</f>
        <v>0</v>
      </c>
      <c r="E20" s="24">
        <f t="shared" si="12"/>
        <v>0</v>
      </c>
      <c r="F20" s="24">
        <f t="shared" si="12"/>
        <v>37451</v>
      </c>
      <c r="G20" s="24">
        <f>SUM(G15:G19)</f>
        <v>48810</v>
      </c>
      <c r="H20" s="24">
        <f t="shared" ref="H20" si="13">SUM(H15:H19)</f>
        <v>38176</v>
      </c>
      <c r="I20" s="24">
        <f t="shared" ref="I20" si="14">SUM(I15:I19)</f>
        <v>48310</v>
      </c>
      <c r="J20" s="24">
        <f t="shared" ref="J20" si="15">SUM(J15:J19)</f>
        <v>37739</v>
      </c>
      <c r="K20" s="24">
        <f t="shared" ref="K20" si="16">SUM(K15:K19)</f>
        <v>49510</v>
      </c>
      <c r="L20" s="24">
        <f t="shared" ref="L20" si="17">SUM(L15:L19)</f>
        <v>5175</v>
      </c>
      <c r="M20" s="24">
        <f t="shared" ref="M20" si="18">SUM(M15:M19)</f>
        <v>175910</v>
      </c>
      <c r="N20" s="24">
        <f t="shared" ref="N20" si="19">SUM(N15:N19)</f>
        <v>32065</v>
      </c>
      <c r="O20" s="24">
        <f t="shared" ref="O20" si="20">SUM(O15:O19)</f>
        <v>44450</v>
      </c>
      <c r="P20" s="24">
        <f t="shared" ref="P20:U20" si="21">SUM(P15:P19)</f>
        <v>177132</v>
      </c>
      <c r="Q20" s="24">
        <f t="shared" si="21"/>
        <v>414900</v>
      </c>
      <c r="R20" s="24">
        <f t="shared" si="21"/>
        <v>15124</v>
      </c>
      <c r="S20" s="24">
        <f t="shared" si="21"/>
        <v>4800</v>
      </c>
      <c r="T20" s="24">
        <f t="shared" si="21"/>
        <v>14429</v>
      </c>
      <c r="U20" s="24">
        <f t="shared" si="21"/>
        <v>2810</v>
      </c>
      <c r="V20" s="24">
        <f t="shared" si="2"/>
        <v>29553</v>
      </c>
      <c r="W20" s="24">
        <f t="shared" si="2"/>
        <v>7610</v>
      </c>
      <c r="X20" s="24">
        <f>SUM(X15:X19)</f>
        <v>206685</v>
      </c>
      <c r="Y20" s="24">
        <f>SUM(Y15:Y19)</f>
        <v>422510</v>
      </c>
      <c r="Z20" s="34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</row>
    <row r="21" spans="1:40" ht="16.5" x14ac:dyDescent="0.3">
      <c r="A21" s="17" t="s">
        <v>39</v>
      </c>
      <c r="B21" s="30">
        <f>SUM(B20+B13)</f>
        <v>127050</v>
      </c>
      <c r="C21" s="30">
        <f>SUM(C20+C13)</f>
        <v>190210</v>
      </c>
      <c r="D21" s="30">
        <f t="shared" ref="D21:O21" si="22">SUM(D20+D13)</f>
        <v>10163</v>
      </c>
      <c r="E21" s="30">
        <f t="shared" si="22"/>
        <v>11877</v>
      </c>
      <c r="F21" s="30">
        <f>SUM(F20+F13)</f>
        <v>215672</v>
      </c>
      <c r="G21" s="30">
        <f>SUM(G20+G13)</f>
        <v>278010</v>
      </c>
      <c r="H21" s="30">
        <f t="shared" si="22"/>
        <v>60896</v>
      </c>
      <c r="I21" s="30">
        <f t="shared" si="22"/>
        <v>83360</v>
      </c>
      <c r="J21" s="30">
        <f t="shared" si="22"/>
        <v>121160</v>
      </c>
      <c r="K21" s="30">
        <f t="shared" si="22"/>
        <v>162510</v>
      </c>
      <c r="L21" s="30">
        <f t="shared" si="22"/>
        <v>82175</v>
      </c>
      <c r="M21" s="30">
        <f t="shared" si="22"/>
        <v>250410</v>
      </c>
      <c r="N21" s="30">
        <f t="shared" si="22"/>
        <v>53036</v>
      </c>
      <c r="O21" s="30">
        <f t="shared" si="22"/>
        <v>61950</v>
      </c>
      <c r="P21" s="30">
        <f>SUM(P13+P20)</f>
        <v>670152</v>
      </c>
      <c r="Q21" s="30">
        <f>SUM(Q13+Q20)</f>
        <v>1038327</v>
      </c>
      <c r="R21" s="30">
        <f>SUM(R13+R20)</f>
        <v>77692</v>
      </c>
      <c r="S21" s="30">
        <f>S20+S13</f>
        <v>61190</v>
      </c>
      <c r="T21" s="30">
        <f>T20+T13</f>
        <v>51950</v>
      </c>
      <c r="U21" s="30">
        <f>U20+U13</f>
        <v>41970</v>
      </c>
      <c r="V21" s="30">
        <f>SUM(R21+T21)</f>
        <v>129642</v>
      </c>
      <c r="W21" s="30">
        <f>SUM(S21+U21)</f>
        <v>103160</v>
      </c>
      <c r="X21" s="30">
        <f>SUM(X13+X20)</f>
        <v>799794</v>
      </c>
      <c r="Y21" s="30">
        <f>SUM(Y13+Y20)</f>
        <v>1150537</v>
      </c>
      <c r="Z21" s="35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40" ht="16.5" x14ac:dyDescent="0.3">
      <c r="A23" s="12" t="s">
        <v>25</v>
      </c>
      <c r="B23" s="22">
        <v>121</v>
      </c>
      <c r="C23" s="22">
        <v>285</v>
      </c>
      <c r="D23" s="22">
        <v>8</v>
      </c>
      <c r="E23" s="22">
        <v>10</v>
      </c>
      <c r="F23" s="22">
        <v>24227</v>
      </c>
      <c r="G23" s="22">
        <v>40000</v>
      </c>
      <c r="H23" s="22">
        <v>8575</v>
      </c>
      <c r="I23" s="22">
        <v>14000</v>
      </c>
      <c r="J23" s="22">
        <v>3664</v>
      </c>
      <c r="K23" s="22">
        <v>5050</v>
      </c>
      <c r="L23" s="22">
        <f>P23</f>
        <v>36595</v>
      </c>
      <c r="M23" s="22">
        <f>Q23</f>
        <v>59345</v>
      </c>
      <c r="N23" s="22">
        <f>P23</f>
        <v>36595</v>
      </c>
      <c r="O23" s="22">
        <f>Q23</f>
        <v>59345</v>
      </c>
      <c r="P23" s="60">
        <f>SUM(B23+D23+F23+H23+J23)</f>
        <v>36595</v>
      </c>
      <c r="Q23" s="61">
        <f>SUM(C23+E23+G23+I23+K23)</f>
        <v>59345</v>
      </c>
      <c r="R23" s="36"/>
      <c r="S23" s="46"/>
      <c r="T23" s="36"/>
      <c r="U23" s="36"/>
      <c r="V23" s="36"/>
      <c r="W23" s="37"/>
      <c r="X23" s="37"/>
      <c r="Y23" s="37"/>
      <c r="Z23" s="16"/>
      <c r="AA23" s="58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0" ht="16.5" x14ac:dyDescent="0.3">
      <c r="A24" s="12" t="s">
        <v>26</v>
      </c>
      <c r="B24" s="36">
        <v>25</v>
      </c>
      <c r="C24" s="36">
        <v>31</v>
      </c>
      <c r="D24" s="36">
        <v>1</v>
      </c>
      <c r="E24" s="36">
        <v>3</v>
      </c>
      <c r="F24" s="36">
        <v>35</v>
      </c>
      <c r="G24" s="36">
        <v>42</v>
      </c>
      <c r="H24" s="36">
        <v>5</v>
      </c>
      <c r="I24" s="36">
        <v>10</v>
      </c>
      <c r="J24" s="36">
        <v>21</v>
      </c>
      <c r="K24" s="36">
        <v>30</v>
      </c>
      <c r="L24" s="36">
        <v>14</v>
      </c>
      <c r="M24" s="36">
        <v>21</v>
      </c>
      <c r="N24" s="36">
        <v>10</v>
      </c>
      <c r="O24" s="36">
        <v>12</v>
      </c>
      <c r="P24" s="36">
        <f>SUM(B24+D24+F24+H24+J24+L24+N24)</f>
        <v>111</v>
      </c>
      <c r="Q24" s="36">
        <f>SUM(C24+E24+G24+I24+K24+M24+O24)</f>
        <v>149</v>
      </c>
      <c r="R24" s="36">
        <v>1</v>
      </c>
      <c r="S24" s="36">
        <v>2</v>
      </c>
      <c r="T24" s="36"/>
      <c r="U24" s="36">
        <v>1</v>
      </c>
      <c r="V24" s="36"/>
      <c r="W24" s="37"/>
      <c r="X24" s="45"/>
      <c r="Y24" s="37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1:40" ht="16.5" x14ac:dyDescent="0.3">
      <c r="A25" s="12" t="s">
        <v>27</v>
      </c>
      <c r="B25" s="38"/>
      <c r="C25" s="44">
        <f>C21/Y21</f>
        <v>0.16532280143967557</v>
      </c>
      <c r="D25" s="44">
        <f>D21/X21</f>
        <v>1.2707022058179982E-2</v>
      </c>
      <c r="E25" s="44">
        <f>E21/Y21</f>
        <v>1.0323005692124633E-2</v>
      </c>
      <c r="F25" s="44">
        <f>F21/X21</f>
        <v>0.26965943730510605</v>
      </c>
      <c r="G25" s="44">
        <f>G21/Y21</f>
        <v>0.24163499305107095</v>
      </c>
      <c r="H25" s="44">
        <f>H21/X21</f>
        <v>7.6139605948531752E-2</v>
      </c>
      <c r="I25" s="44">
        <f>I21/Y21</f>
        <v>7.2453124062937566E-2</v>
      </c>
      <c r="J25" s="44">
        <f>J21/X21</f>
        <v>0.15148900841966806</v>
      </c>
      <c r="K25" s="44">
        <f>K21/Y21</f>
        <v>0.14124708722970231</v>
      </c>
      <c r="L25" s="44">
        <f>L21/X21</f>
        <v>0.10274520689077438</v>
      </c>
      <c r="M25" s="44">
        <f>M21/Y21</f>
        <v>0.21764619477687375</v>
      </c>
      <c r="N25" s="44">
        <f>N21/X21</f>
        <v>6.6312075359405045E-2</v>
      </c>
      <c r="O25" s="44">
        <f>O21/Y21</f>
        <v>5.3844422213279536E-2</v>
      </c>
      <c r="P25" s="44"/>
      <c r="Q25" s="44"/>
      <c r="R25" s="36"/>
      <c r="S25" s="36"/>
      <c r="T25" s="36"/>
      <c r="U25" s="36"/>
      <c r="V25" s="36"/>
      <c r="W25" s="37"/>
      <c r="X25" s="37"/>
      <c r="Y25" s="37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1:40" ht="16.5" x14ac:dyDescent="0.3">
      <c r="A26" s="12" t="s">
        <v>32</v>
      </c>
      <c r="B26" s="39">
        <f t="shared" ref="B26:P26" si="23">SUM(B13+B20)/B23</f>
        <v>1050</v>
      </c>
      <c r="C26" s="39">
        <f t="shared" si="23"/>
        <v>667.40350877192986</v>
      </c>
      <c r="D26" s="39">
        <f t="shared" si="23"/>
        <v>1270.375</v>
      </c>
      <c r="E26" s="39">
        <f t="shared" si="23"/>
        <v>1187.7</v>
      </c>
      <c r="F26" s="40">
        <f t="shared" si="23"/>
        <v>8.9021339827465233</v>
      </c>
      <c r="G26" s="40">
        <f t="shared" si="23"/>
        <v>6.9502499999999996</v>
      </c>
      <c r="H26" s="40">
        <f t="shared" si="23"/>
        <v>7.1015743440233239</v>
      </c>
      <c r="I26" s="40">
        <f t="shared" si="23"/>
        <v>5.9542857142857146</v>
      </c>
      <c r="J26" s="40">
        <f t="shared" si="23"/>
        <v>33.067685589519648</v>
      </c>
      <c r="K26" s="40">
        <f t="shared" si="23"/>
        <v>32.180198019801978</v>
      </c>
      <c r="L26" s="40">
        <f t="shared" si="23"/>
        <v>2.2455253449924855</v>
      </c>
      <c r="M26" s="40">
        <f t="shared" si="23"/>
        <v>4.219563568961159</v>
      </c>
      <c r="N26" s="40">
        <f t="shared" si="23"/>
        <v>1.4492690258231999</v>
      </c>
      <c r="O26" s="40">
        <f t="shared" si="23"/>
        <v>1.0438958631729716</v>
      </c>
      <c r="P26" s="40">
        <f t="shared" si="23"/>
        <v>18.312665664708295</v>
      </c>
      <c r="Q26" s="40">
        <f>SUM(Q13+Q20)/Q23</f>
        <v>17.496452944645714</v>
      </c>
      <c r="R26" s="36"/>
      <c r="S26" s="36"/>
      <c r="T26" s="36"/>
      <c r="U26" s="36"/>
      <c r="V26" s="36"/>
      <c r="W26" s="37"/>
      <c r="X26" s="37"/>
      <c r="Y26" s="37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</row>
    <row r="27" spans="1:40" ht="16.5" x14ac:dyDescent="0.3">
      <c r="A27" s="13" t="s">
        <v>22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40" ht="15.95" customHeight="1" x14ac:dyDescent="0.3">
      <c r="A28" s="47" t="s">
        <v>38</v>
      </c>
      <c r="B28" s="48">
        <v>118000</v>
      </c>
      <c r="C28" s="48">
        <v>15000</v>
      </c>
      <c r="D28" s="48"/>
      <c r="E28" s="48"/>
      <c r="F28" s="48">
        <v>19700</v>
      </c>
      <c r="G28" s="48">
        <v>10000</v>
      </c>
      <c r="H28" s="48">
        <v>18000</v>
      </c>
      <c r="I28" s="48">
        <v>13000</v>
      </c>
      <c r="J28" s="48">
        <v>4000</v>
      </c>
      <c r="K28" s="48">
        <v>10000</v>
      </c>
      <c r="L28" s="48"/>
      <c r="M28" s="48">
        <v>10000</v>
      </c>
      <c r="N28" s="48"/>
      <c r="O28" s="48">
        <v>10000</v>
      </c>
      <c r="P28" s="48">
        <f>SUM(B28+F28+H28+J28)</f>
        <v>159700</v>
      </c>
      <c r="Q28" s="48">
        <f>SUM(C28+E28+G28+I28+K28+M28+O28)</f>
        <v>68000</v>
      </c>
      <c r="R28" s="48">
        <f>4000+35000</f>
        <v>39000</v>
      </c>
      <c r="S28" s="48"/>
      <c r="T28" s="48"/>
      <c r="U28" s="48"/>
      <c r="V28" s="48">
        <f>SUM(R28+T28)</f>
        <v>39000</v>
      </c>
      <c r="W28" s="48"/>
      <c r="X28" s="48"/>
      <c r="Y28" s="48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</row>
    <row r="29" spans="1:40" ht="15.95" customHeight="1" x14ac:dyDescent="0.3">
      <c r="A29" s="47" t="s">
        <v>44</v>
      </c>
      <c r="B29" s="48"/>
      <c r="C29" s="48">
        <v>10000</v>
      </c>
      <c r="D29" s="48"/>
      <c r="E29" s="48"/>
      <c r="F29" s="48"/>
      <c r="G29" s="48">
        <v>2000</v>
      </c>
      <c r="H29" s="48"/>
      <c r="I29" s="48">
        <v>1500</v>
      </c>
      <c r="J29" s="48"/>
      <c r="K29" s="48"/>
      <c r="L29" s="48"/>
      <c r="M29" s="48"/>
      <c r="N29" s="48"/>
      <c r="O29" s="48"/>
      <c r="P29" s="48"/>
      <c r="Q29" s="48">
        <f>SUM(C29+G29+I29)</f>
        <v>13500</v>
      </c>
      <c r="R29" s="48"/>
      <c r="S29" s="48"/>
      <c r="T29" s="48"/>
      <c r="U29" s="48"/>
      <c r="V29" s="48"/>
      <c r="W29" s="48"/>
      <c r="X29" s="48"/>
      <c r="Y29" s="48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0" ht="15.95" customHeight="1" x14ac:dyDescent="0.3">
      <c r="A30" s="14" t="s">
        <v>23</v>
      </c>
      <c r="B30" s="24">
        <f>SUM(B28:B29)</f>
        <v>118000</v>
      </c>
      <c r="C30" s="24">
        <f>SUM(C28:C29)</f>
        <v>25000</v>
      </c>
      <c r="D30" s="24">
        <f t="shared" ref="D30:M30" si="24">SUM(D28:D29)</f>
        <v>0</v>
      </c>
      <c r="E30" s="24">
        <f t="shared" si="24"/>
        <v>0</v>
      </c>
      <c r="F30" s="24">
        <f t="shared" si="24"/>
        <v>19700</v>
      </c>
      <c r="G30" s="24">
        <f t="shared" si="24"/>
        <v>12000</v>
      </c>
      <c r="H30" s="24">
        <f t="shared" si="24"/>
        <v>18000</v>
      </c>
      <c r="I30" s="24">
        <f t="shared" si="24"/>
        <v>14500</v>
      </c>
      <c r="J30" s="24">
        <f t="shared" si="24"/>
        <v>4000</v>
      </c>
      <c r="K30" s="24">
        <f t="shared" si="24"/>
        <v>10000</v>
      </c>
      <c r="L30" s="24">
        <f t="shared" si="24"/>
        <v>0</v>
      </c>
      <c r="M30" s="24">
        <f t="shared" si="24"/>
        <v>10000</v>
      </c>
      <c r="N30" s="24">
        <f>SUM(N28:N29)</f>
        <v>0</v>
      </c>
      <c r="O30" s="24">
        <f>SUM(O28:O29)</f>
        <v>10000</v>
      </c>
      <c r="P30" s="24">
        <f>SUM(P28:P29)</f>
        <v>159700</v>
      </c>
      <c r="Q30" s="24">
        <f>SUM(Q28:Q29)</f>
        <v>81500</v>
      </c>
      <c r="R30" s="24">
        <f>SUM(R28)</f>
        <v>39000</v>
      </c>
      <c r="S30" s="24"/>
      <c r="T30" s="24"/>
      <c r="U30" s="24"/>
      <c r="V30" s="24">
        <f>SUM(V28:V29)</f>
        <v>39000</v>
      </c>
      <c r="W30" s="24"/>
      <c r="X30" s="53">
        <f>SUM(V30+P30)</f>
        <v>198700</v>
      </c>
      <c r="Y30" s="54">
        <f>Q30</f>
        <v>81500</v>
      </c>
      <c r="Z30" s="55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</row>
    <row r="31" spans="1:40" ht="15.95" customHeight="1" x14ac:dyDescent="0.3">
      <c r="A31" s="47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9"/>
      <c r="Z31" s="16"/>
      <c r="AA31" s="55"/>
      <c r="AB31" s="62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1:40" ht="15.95" customHeight="1" x14ac:dyDescent="0.3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 t="s">
        <v>40</v>
      </c>
      <c r="X32" s="51">
        <f>P21/X21</f>
        <v>0.83790576073338885</v>
      </c>
      <c r="Y32" s="52">
        <f>Q21/Y21</f>
        <v>0.90247162846566431</v>
      </c>
      <c r="Z32" s="16"/>
      <c r="AA32" s="16"/>
      <c r="AB32" s="62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</row>
    <row r="33" spans="1:40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41" t="s">
        <v>35</v>
      </c>
      <c r="X33" s="38">
        <f>R21/X21</f>
        <v>9.7140013553490029E-2</v>
      </c>
      <c r="Y33" s="38">
        <f>S21/Y21</f>
        <v>5.3183861101381354E-2</v>
      </c>
      <c r="Z33" s="16"/>
      <c r="AA33" s="16"/>
      <c r="AB33" s="63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0" ht="15" customHeight="1" x14ac:dyDescent="0.2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41" t="s">
        <v>36</v>
      </c>
      <c r="X34" s="38">
        <f>T21/X21</f>
        <v>6.4954225713121122E-2</v>
      </c>
      <c r="Y34" s="38">
        <f>U21/Y21</f>
        <v>3.6478618245219405E-2</v>
      </c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0" x14ac:dyDescent="0.25">
      <c r="A35" s="1"/>
      <c r="B35" s="1"/>
      <c r="C35" s="1"/>
      <c r="D35" s="1"/>
      <c r="E35" s="1"/>
      <c r="F35" s="1"/>
      <c r="G35" s="1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 x14ac:dyDescent="0.25">
      <c r="A36" s="1" t="s">
        <v>33</v>
      </c>
      <c r="B36" s="1"/>
      <c r="C36" s="1"/>
      <c r="D36" s="1"/>
      <c r="E36" s="1"/>
      <c r="F36" s="1"/>
      <c r="G36" s="1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90" t="s">
        <v>59</v>
      </c>
      <c r="Y36" s="90"/>
      <c r="Z36" s="91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</row>
    <row r="37" spans="1:40" x14ac:dyDescent="0.25">
      <c r="A37" s="1"/>
      <c r="B37" s="1"/>
      <c r="C37" s="1"/>
      <c r="D37" s="1"/>
      <c r="E37" s="1"/>
      <c r="F37" s="1"/>
      <c r="G37" s="1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W37" s="55"/>
      <c r="X37" s="92">
        <f>SUM(Y21+Y30)</f>
        <v>1232037</v>
      </c>
      <c r="Y37" s="91" t="s">
        <v>60</v>
      </c>
      <c r="Z37" s="91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 x14ac:dyDescent="0.25">
      <c r="Q38" s="42"/>
      <c r="V38" s="43"/>
      <c r="W38" s="42"/>
      <c r="X38" s="92">
        <v>752300</v>
      </c>
      <c r="Y38" s="91" t="s">
        <v>61</v>
      </c>
      <c r="Z38" s="91"/>
    </row>
    <row r="39" spans="1:40" x14ac:dyDescent="0.25">
      <c r="X39" s="93">
        <f>SUM(X37:X38)</f>
        <v>1984337</v>
      </c>
      <c r="Y39" s="93"/>
      <c r="Z39" s="91"/>
    </row>
    <row r="40" spans="1:40" x14ac:dyDescent="0.25">
      <c r="W40" s="42"/>
      <c r="X40" s="91"/>
      <c r="Y40" s="91"/>
      <c r="Z40" s="91"/>
    </row>
    <row r="41" spans="1:40" x14ac:dyDescent="0.25">
      <c r="W41" s="56"/>
      <c r="X41" s="91" t="s">
        <v>62</v>
      </c>
      <c r="Y41" s="91"/>
      <c r="Z41" s="91"/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honeticPr fontId="8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/>
  </sheetViews>
  <sheetFormatPr defaultColWidth="11" defaultRowHeight="15.75" x14ac:dyDescent="0.25"/>
  <cols>
    <col min="1" max="1" width="34.375" customWidth="1"/>
    <col min="9" max="9" width="12.5" bestFit="1" customWidth="1"/>
  </cols>
  <sheetData>
    <row r="1" spans="1:9" ht="38.25" thickBot="1" x14ac:dyDescent="0.35">
      <c r="A1" s="64" t="s">
        <v>63</v>
      </c>
      <c r="B1" s="103">
        <v>2012</v>
      </c>
      <c r="C1" s="103"/>
      <c r="D1" s="65">
        <v>2013</v>
      </c>
    </row>
    <row r="2" spans="1:9" x14ac:dyDescent="0.25">
      <c r="A2" s="66" t="s">
        <v>45</v>
      </c>
      <c r="B2" s="67" t="s">
        <v>46</v>
      </c>
      <c r="C2" s="68" t="s">
        <v>47</v>
      </c>
      <c r="D2" s="69" t="s">
        <v>46</v>
      </c>
      <c r="I2" s="62"/>
    </row>
    <row r="3" spans="1:9" x14ac:dyDescent="0.25">
      <c r="A3" s="70"/>
      <c r="B3" s="71"/>
      <c r="C3" s="72"/>
      <c r="D3" s="73"/>
      <c r="I3" s="62"/>
    </row>
    <row r="4" spans="1:9" x14ac:dyDescent="0.25">
      <c r="A4" s="74" t="s">
        <v>56</v>
      </c>
      <c r="B4" s="75">
        <v>20000</v>
      </c>
      <c r="C4" s="75">
        <v>23056</v>
      </c>
      <c r="D4" s="76">
        <v>20000</v>
      </c>
      <c r="I4" s="62"/>
    </row>
    <row r="5" spans="1:9" x14ac:dyDescent="0.25">
      <c r="A5" s="74" t="s">
        <v>48</v>
      </c>
      <c r="B5" s="77">
        <v>10000</v>
      </c>
      <c r="C5" s="75">
        <v>29614</v>
      </c>
      <c r="D5" s="76">
        <v>35000</v>
      </c>
      <c r="I5" s="62"/>
    </row>
    <row r="6" spans="1:9" x14ac:dyDescent="0.25">
      <c r="A6" s="74" t="s">
        <v>49</v>
      </c>
      <c r="B6" s="77">
        <v>400000</v>
      </c>
      <c r="C6" s="75">
        <f>593723+25000</f>
        <v>618723</v>
      </c>
      <c r="D6" s="76">
        <v>500000</v>
      </c>
      <c r="I6" s="62"/>
    </row>
    <row r="7" spans="1:9" x14ac:dyDescent="0.25">
      <c r="A7" s="74" t="s">
        <v>50</v>
      </c>
      <c r="B7" s="77">
        <v>350000</v>
      </c>
      <c r="C7" s="75">
        <v>445310</v>
      </c>
      <c r="D7" s="78">
        <v>750000</v>
      </c>
      <c r="E7" t="s">
        <v>57</v>
      </c>
    </row>
    <row r="8" spans="1:9" x14ac:dyDescent="0.25">
      <c r="A8" s="74" t="s">
        <v>51</v>
      </c>
      <c r="B8" s="77">
        <v>325000</v>
      </c>
      <c r="C8" s="75">
        <v>440482</v>
      </c>
      <c r="D8" s="76">
        <v>450000</v>
      </c>
    </row>
    <row r="9" spans="1:9" x14ac:dyDescent="0.25">
      <c r="A9" s="74" t="s">
        <v>52</v>
      </c>
      <c r="B9" s="77">
        <v>100000</v>
      </c>
      <c r="C9" s="75">
        <v>158974</v>
      </c>
      <c r="D9" s="76">
        <v>150000</v>
      </c>
    </row>
    <row r="10" spans="1:9" x14ac:dyDescent="0.25">
      <c r="A10" s="79" t="s">
        <v>53</v>
      </c>
      <c r="B10" s="80">
        <v>50000</v>
      </c>
      <c r="C10" s="80">
        <v>87502</v>
      </c>
      <c r="D10" s="76">
        <v>100000</v>
      </c>
    </row>
    <row r="11" spans="1:9" x14ac:dyDescent="0.25">
      <c r="A11" s="79" t="s">
        <v>54</v>
      </c>
      <c r="B11" s="80">
        <v>5000</v>
      </c>
      <c r="C11" s="80">
        <v>6475</v>
      </c>
      <c r="D11" s="76">
        <v>8000</v>
      </c>
    </row>
    <row r="12" spans="1:9" x14ac:dyDescent="0.25">
      <c r="A12" s="79" t="s">
        <v>55</v>
      </c>
      <c r="B12" s="80">
        <v>1000</v>
      </c>
      <c r="C12" s="80">
        <v>1300</v>
      </c>
      <c r="D12" s="76">
        <v>1000</v>
      </c>
    </row>
    <row r="13" spans="1:9" x14ac:dyDescent="0.25">
      <c r="A13" s="81"/>
      <c r="B13" s="82"/>
      <c r="C13" s="82"/>
      <c r="D13" s="83"/>
    </row>
    <row r="14" spans="1:9" x14ac:dyDescent="0.25">
      <c r="A14" s="84" t="s">
        <v>8</v>
      </c>
      <c r="B14" s="85">
        <f>SUM(B4:B12)</f>
        <v>1261000</v>
      </c>
      <c r="C14" s="85">
        <f>SUM(C4:C12)</f>
        <v>1811436</v>
      </c>
      <c r="D14" s="86">
        <f>SUM(D4:D12)</f>
        <v>2014000</v>
      </c>
    </row>
    <row r="15" spans="1:9" x14ac:dyDescent="0.25">
      <c r="A15" s="87"/>
      <c r="B15" s="88"/>
      <c r="C15" s="88"/>
      <c r="D15" s="89"/>
    </row>
    <row r="17" spans="1:1" x14ac:dyDescent="0.25">
      <c r="A17" t="s">
        <v>58</v>
      </c>
    </row>
  </sheetData>
  <mergeCells count="1">
    <mergeCell ref="B1:C1"/>
  </mergeCells>
  <phoneticPr fontId="17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 </vt:lpstr>
      <vt:lpstr>Revenue</vt:lpstr>
    </vt:vector>
  </TitlesOfParts>
  <Company>Shining Hope for Communities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Bascom</dc:creator>
  <cp:lastModifiedBy>Katherine Sammons</cp:lastModifiedBy>
  <cp:lastPrinted>2012-11-15T22:00:52Z</cp:lastPrinted>
  <dcterms:created xsi:type="dcterms:W3CDTF">2012-11-07T17:42:08Z</dcterms:created>
  <dcterms:modified xsi:type="dcterms:W3CDTF">2013-12-17T16:08:56Z</dcterms:modified>
</cp:coreProperties>
</file>