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75" windowHeight="8700" activeTab="0"/>
  </bookViews>
  <sheets>
    <sheet name="shelter" sheetId="1" r:id="rId1"/>
    <sheet name="water" sheetId="2" r:id="rId2"/>
    <sheet name="sanitation" sheetId="3" r:id="rId3"/>
  </sheets>
  <definedNames/>
  <calcPr fullCalcOnLoad="1"/>
</workbook>
</file>

<file path=xl/sharedStrings.xml><?xml version="1.0" encoding="utf-8"?>
<sst xmlns="http://schemas.openxmlformats.org/spreadsheetml/2006/main" count="98" uniqueCount="98">
  <si>
    <t>shelter area per person, m^2</t>
  </si>
  <si>
    <t>number of people per shelter</t>
  </si>
  <si>
    <t>interior area of one shelter, m^2</t>
  </si>
  <si>
    <t>interior area of one shelter, ft^2</t>
  </si>
  <si>
    <t>36 ft x 12 ft</t>
  </si>
  <si>
    <t>approximate dimensions of shelter</t>
  </si>
  <si>
    <t>cost per ft^2, storage box, 20 ft x 8 ft</t>
  </si>
  <si>
    <t>cost per ft^2, used pole tent, 20 ft x 40 ft</t>
  </si>
  <si>
    <t>cost per ft^2, new pole tent, 20 ft x 40 ft</t>
  </si>
  <si>
    <t>cost per ft^2, canvas wall tent, 18 ft x 23 ft</t>
  </si>
  <si>
    <t>cost per ft^2, mini barn storage shed, 36 ft x 12 ft</t>
  </si>
  <si>
    <t>cost of one 2x4 stud, 10 ft long</t>
  </si>
  <si>
    <t>cost of 1000 board feet of 2x4s (1 board foot = 12"x12"x1")</t>
  </si>
  <si>
    <t>board feet of framing lumber for a 2,000 sf house</t>
  </si>
  <si>
    <t>cost, framing lumber for a 2,000 sf house</t>
  </si>
  <si>
    <t>cost per ft^2, framing lumber for a 2,000 sf house</t>
  </si>
  <si>
    <t>paneling, ft^2 for a 2,000 sf house</t>
  </si>
  <si>
    <t>cost per ft^2, 1/4"x4'x8' sanded pine plywood paneling</t>
  </si>
  <si>
    <t>cost per ft^2, paneling lumber for a 2,000 sf house</t>
  </si>
  <si>
    <t>cost, paneling lumber for a 2,000 sf house</t>
  </si>
  <si>
    <t>Does not include doors, windows, insulation, etc.</t>
  </si>
  <si>
    <t>number of shelters for 100 people</t>
  </si>
  <si>
    <t>cost per ft^2 of alternative shelters, for comparison purposes only</t>
  </si>
  <si>
    <t>framing costs</t>
  </si>
  <si>
    <t>paneling costs</t>
  </si>
  <si>
    <t>estimated cost per ft^2, shelter materials</t>
  </si>
  <si>
    <t>estimated cost for refugee camp</t>
  </si>
  <si>
    <t>includes framing lumber, paneling lumber.</t>
  </si>
  <si>
    <t>assume CMU block foundation, very little cost</t>
  </si>
  <si>
    <t>assume thin plastic sheeting for waterproofing, very little cost</t>
  </si>
  <si>
    <t>system capacity, minimum, L/person-day</t>
  </si>
  <si>
    <t>volume per day, L, minimum for 100 refugees</t>
  </si>
  <si>
    <t>volume per day, gal, minimum for 100 refugees</t>
  </si>
  <si>
    <t>plastic tank volume, gal, 64" dia x 80" high</t>
  </si>
  <si>
    <t>cost per plastic tank</t>
  </si>
  <si>
    <t>total cost of water storage</t>
  </si>
  <si>
    <t>water storage</t>
  </si>
  <si>
    <t>water pumping</t>
  </si>
  <si>
    <t>number of pumps required (1 duty, 1 standby)</t>
  </si>
  <si>
    <t>cost per water pump (gasoline engine pump, self priming, 2" discharge, 100 gpm @ 40 ft TDH)</t>
  </si>
  <si>
    <t>time, minutes, to fill 1000 gal plastic tank</t>
  </si>
  <si>
    <t>total cost of water pumps</t>
  </si>
  <si>
    <t>shelter design criteria</t>
  </si>
  <si>
    <t>water design criteria</t>
  </si>
  <si>
    <t>water transport / distribution</t>
  </si>
  <si>
    <t>assumed length of pipe required, ft</t>
  </si>
  <si>
    <t>cost per ft, 2" dia PVC pipe, SCH 40</t>
  </si>
  <si>
    <t>total cost of PVC pipe</t>
  </si>
  <si>
    <t>number of 2" PVC ball valves</t>
  </si>
  <si>
    <t>cost per 2" PVC ball valve</t>
  </si>
  <si>
    <t>total cost of PVC ball valves</t>
  </si>
  <si>
    <t>total cost of water transport / distribution</t>
  </si>
  <si>
    <t>number of water taps (UNHCR recommeds 1 tap per 80-100 people)</t>
  </si>
  <si>
    <t>water testing</t>
  </si>
  <si>
    <t>number of plastic tanks required</t>
  </si>
  <si>
    <t>(1 for untreated water, 1 for treated water, 1 spare)</t>
  </si>
  <si>
    <t>water treatment (first guess, to be modified / updated by Molly)</t>
  </si>
  <si>
    <t>loading rate for slow sand filter, gpm/ft^2</t>
  </si>
  <si>
    <t>desired volume of water produced per day, gal</t>
  </si>
  <si>
    <t>surface area required, ft^2</t>
  </si>
  <si>
    <t>assume slow sand filter</t>
  </si>
  <si>
    <t>18" of gravel in bottom, covered w/ 30" of clean sand, 30" of water on top</t>
  </si>
  <si>
    <t>use plastic tank for slow sand filter</t>
  </si>
  <si>
    <t>cost of plastic tank</t>
  </si>
  <si>
    <t>cost of sand / gravel</t>
  </si>
  <si>
    <t>surface area of 1000 gal plastic tank, ft^2</t>
  </si>
  <si>
    <t>cost per lb for clean sand / gravel</t>
  </si>
  <si>
    <t>density of clean sand / gravel, lb/ft^3</t>
  </si>
  <si>
    <t>volume of clean sand / gravel required, ft^3</t>
  </si>
  <si>
    <t>total cost for 1 slow sand filter</t>
  </si>
  <si>
    <t>number of slow sand filters required (2 required: 1 duty + 1 standby)</t>
  </si>
  <si>
    <t>calcium hypochlorite, 50 lb bucket</t>
  </si>
  <si>
    <t>water testing supplies for E. coli, free chlorine residual</t>
  </si>
  <si>
    <t>total cost of water for 100 person refugee camp</t>
  </si>
  <si>
    <t>(used incubator, media, membrane filters, petri dishes, DPD color wheel, etc.)</t>
  </si>
  <si>
    <t>sanitation design criteria</t>
  </si>
  <si>
    <t>number of latrines for 100 people (1 per shelter)</t>
  </si>
  <si>
    <t>floor area of latrine, ft^2</t>
  </si>
  <si>
    <t>superstructure</t>
  </si>
  <si>
    <t>cost of superstructure</t>
  </si>
  <si>
    <t>cost per ft^2 (assume same cost per ft^2  as shelter)</t>
  </si>
  <si>
    <t>assume 3 ft depth</t>
  </si>
  <si>
    <t>concrete bottom structure, 2 cells</t>
  </si>
  <si>
    <t>concrete volume, ft^3, bottom slab</t>
  </si>
  <si>
    <t>assume 6-inch thick concrete for walls, bottom slab, and top slab</t>
  </si>
  <si>
    <t>concrete volume, ft^3, top slab</t>
  </si>
  <si>
    <t>concrete volume, ft^3, walls</t>
  </si>
  <si>
    <t>concrete cost per ft^3</t>
  </si>
  <si>
    <t>cost of concrete bottom structure</t>
  </si>
  <si>
    <t>door, vent pipes w/ screens, lime or ash to put in the pit, etc.</t>
  </si>
  <si>
    <t>cost for 1 shelter, materials only, 12 ft x 36 ft</t>
  </si>
  <si>
    <t>total cost, water treatment, materials only</t>
  </si>
  <si>
    <t>cost for 1 latrine, materials only</t>
  </si>
  <si>
    <t>total cost of shelters for 100 person refugee camp</t>
  </si>
  <si>
    <t>total cost of latrines for 100 person refugee camp</t>
  </si>
  <si>
    <t>miscellaneous</t>
  </si>
  <si>
    <t>assume ventilated improved dry pit latrine</t>
  </si>
  <si>
    <t>wooden superstructure on top of concrete bottom structure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</si>
</sst>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[Red]\(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6" fontId="3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5</xdr:row>
      <xdr:rowOff>38100</xdr:rowOff>
    </xdr:from>
    <xdr:to>
      <xdr:col>9</xdr:col>
      <xdr:colOff>371475</xdr:colOff>
      <xdr:row>9</xdr:row>
      <xdr:rowOff>152400</xdr:rowOff>
    </xdr:to>
    <xdr:pic>
      <xdr:nvPicPr>
        <xdr:cNvPr id="1" name="Picture 1" descr="canvas wall te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990600"/>
          <a:ext cx="1200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10</xdr:row>
      <xdr:rowOff>38100</xdr:rowOff>
    </xdr:from>
    <xdr:to>
      <xdr:col>10</xdr:col>
      <xdr:colOff>342900</xdr:colOff>
      <xdr:row>14</xdr:row>
      <xdr:rowOff>38100</xdr:rowOff>
    </xdr:to>
    <xdr:pic>
      <xdr:nvPicPr>
        <xdr:cNvPr id="2" name="Picture 2" descr="pole ten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94310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14</xdr:row>
      <xdr:rowOff>104775</xdr:rowOff>
    </xdr:from>
    <xdr:to>
      <xdr:col>9</xdr:col>
      <xdr:colOff>38100</xdr:colOff>
      <xdr:row>18</xdr:row>
      <xdr:rowOff>76200</xdr:rowOff>
    </xdr:to>
    <xdr:pic>
      <xdr:nvPicPr>
        <xdr:cNvPr id="3" name="Picture 3" descr="mini barn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67300" y="2771775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18</xdr:row>
      <xdr:rowOff>142875</xdr:rowOff>
    </xdr:from>
    <xdr:to>
      <xdr:col>9</xdr:col>
      <xdr:colOff>180975</xdr:colOff>
      <xdr:row>22</xdr:row>
      <xdr:rowOff>114300</xdr:rowOff>
    </xdr:to>
    <xdr:pic>
      <xdr:nvPicPr>
        <xdr:cNvPr id="4" name="Picture 4" descr="storage box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76825" y="3571875"/>
          <a:ext cx="981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9</xdr:row>
      <xdr:rowOff>38100</xdr:rowOff>
    </xdr:from>
    <xdr:to>
      <xdr:col>7</xdr:col>
      <xdr:colOff>314325</xdr:colOff>
      <xdr:row>9</xdr:row>
      <xdr:rowOff>114300</xdr:rowOff>
    </xdr:to>
    <xdr:sp>
      <xdr:nvSpPr>
        <xdr:cNvPr id="5" name="Straight Arrow Connector 6"/>
        <xdr:cNvSpPr>
          <a:spLocks/>
        </xdr:cNvSpPr>
      </xdr:nvSpPr>
      <xdr:spPr>
        <a:xfrm flipV="1">
          <a:off x="3609975" y="1752600"/>
          <a:ext cx="1362075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7</xdr:col>
      <xdr:colOff>352425</xdr:colOff>
      <xdr:row>11</xdr:row>
      <xdr:rowOff>114300</xdr:rowOff>
    </xdr:to>
    <xdr:sp>
      <xdr:nvSpPr>
        <xdr:cNvPr id="6" name="Straight Arrow Connector 8"/>
        <xdr:cNvSpPr>
          <a:spLocks/>
        </xdr:cNvSpPr>
      </xdr:nvSpPr>
      <xdr:spPr>
        <a:xfrm>
          <a:off x="3438525" y="2009775"/>
          <a:ext cx="1571625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476250</xdr:colOff>
      <xdr:row>12</xdr:row>
      <xdr:rowOff>114300</xdr:rowOff>
    </xdr:from>
    <xdr:to>
      <xdr:col>7</xdr:col>
      <xdr:colOff>314325</xdr:colOff>
      <xdr:row>15</xdr:row>
      <xdr:rowOff>85725</xdr:rowOff>
    </xdr:to>
    <xdr:sp>
      <xdr:nvSpPr>
        <xdr:cNvPr id="7" name="Straight Arrow Connector 10"/>
        <xdr:cNvSpPr>
          <a:spLocks/>
        </xdr:cNvSpPr>
      </xdr:nvSpPr>
      <xdr:spPr>
        <a:xfrm>
          <a:off x="3914775" y="2400300"/>
          <a:ext cx="1057275" cy="542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342900</xdr:colOff>
      <xdr:row>13</xdr:row>
      <xdr:rowOff>85725</xdr:rowOff>
    </xdr:from>
    <xdr:to>
      <xdr:col>7</xdr:col>
      <xdr:colOff>323850</xdr:colOff>
      <xdr:row>18</xdr:row>
      <xdr:rowOff>180975</xdr:rowOff>
    </xdr:to>
    <xdr:sp>
      <xdr:nvSpPr>
        <xdr:cNvPr id="8" name="Straight Arrow Connector 12"/>
        <xdr:cNvSpPr>
          <a:spLocks/>
        </xdr:cNvSpPr>
      </xdr:nvSpPr>
      <xdr:spPr>
        <a:xfrm>
          <a:off x="3171825" y="2562225"/>
          <a:ext cx="180975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13</xdr:row>
      <xdr:rowOff>66675</xdr:rowOff>
    </xdr:from>
    <xdr:to>
      <xdr:col>11</xdr:col>
      <xdr:colOff>476250</xdr:colOff>
      <xdr:row>18</xdr:row>
      <xdr:rowOff>95250</xdr:rowOff>
    </xdr:to>
    <xdr:pic>
      <xdr:nvPicPr>
        <xdr:cNvPr id="1" name="Picture 1" descr="water pum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54317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8</xdr:row>
      <xdr:rowOff>0</xdr:rowOff>
    </xdr:from>
    <xdr:to>
      <xdr:col>10</xdr:col>
      <xdr:colOff>514350</xdr:colOff>
      <xdr:row>11</xdr:row>
      <xdr:rowOff>19050</xdr:rowOff>
    </xdr:to>
    <xdr:pic>
      <xdr:nvPicPr>
        <xdr:cNvPr id="2" name="Picture 3" descr="water storage tank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524000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44</xdr:row>
      <xdr:rowOff>85725</xdr:rowOff>
    </xdr:from>
    <xdr:to>
      <xdr:col>9</xdr:col>
      <xdr:colOff>133350</xdr:colOff>
      <xdr:row>49</xdr:row>
      <xdr:rowOff>0</xdr:rowOff>
    </xdr:to>
    <xdr:pic>
      <xdr:nvPicPr>
        <xdr:cNvPr id="3" name="Picture 4" descr="calcium hypochlorit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8467725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28</xdr:row>
      <xdr:rowOff>66675</xdr:rowOff>
    </xdr:from>
    <xdr:to>
      <xdr:col>10</xdr:col>
      <xdr:colOff>447675</xdr:colOff>
      <xdr:row>32</xdr:row>
      <xdr:rowOff>114300</xdr:rowOff>
    </xdr:to>
    <xdr:pic>
      <xdr:nvPicPr>
        <xdr:cNvPr id="4" name="Picture 5" descr="water testing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43550" y="5400675"/>
          <a:ext cx="1047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6</xdr:row>
      <xdr:rowOff>47625</xdr:rowOff>
    </xdr:from>
    <xdr:to>
      <xdr:col>10</xdr:col>
      <xdr:colOff>171450</xdr:colOff>
      <xdr:row>15</xdr:row>
      <xdr:rowOff>47625</xdr:rowOff>
    </xdr:to>
    <xdr:pic>
      <xdr:nvPicPr>
        <xdr:cNvPr id="1" name="Picture 1" descr="VID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190625"/>
          <a:ext cx="14668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15.00390625" style="1" customWidth="1"/>
  </cols>
  <sheetData>
    <row r="1" ht="15">
      <c r="B1" s="8" t="s">
        <v>42</v>
      </c>
    </row>
    <row r="2" spans="1:2" ht="15">
      <c r="A2" s="1">
        <v>5</v>
      </c>
      <c r="B2" t="s">
        <v>0</v>
      </c>
    </row>
    <row r="3" spans="1:2" ht="15">
      <c r="A3" s="1">
        <v>8</v>
      </c>
      <c r="B3" t="s">
        <v>1</v>
      </c>
    </row>
    <row r="4" spans="1:2" ht="15">
      <c r="A4" s="1">
        <f>ROUNDUP(100/A3,0)</f>
        <v>13</v>
      </c>
      <c r="B4" t="s">
        <v>21</v>
      </c>
    </row>
    <row r="5" spans="1:2" ht="15">
      <c r="A5" s="1">
        <f>A2*A3</f>
        <v>40</v>
      </c>
      <c r="B5" t="s">
        <v>2</v>
      </c>
    </row>
    <row r="6" spans="1:2" ht="15">
      <c r="A6" s="2">
        <f>A5*10.76</f>
        <v>430.4</v>
      </c>
      <c r="B6" t="s">
        <v>3</v>
      </c>
    </row>
    <row r="7" spans="1:2" ht="15">
      <c r="A7" s="2" t="s">
        <v>4</v>
      </c>
      <c r="B7" t="s">
        <v>5</v>
      </c>
    </row>
    <row r="8" ht="15">
      <c r="A8" s="2"/>
    </row>
    <row r="9" ht="15">
      <c r="B9" s="8" t="s">
        <v>22</v>
      </c>
    </row>
    <row r="10" spans="1:2" ht="15">
      <c r="A10" s="3">
        <v>3</v>
      </c>
      <c r="B10" t="s">
        <v>9</v>
      </c>
    </row>
    <row r="11" spans="1:2" ht="15">
      <c r="A11" s="3">
        <v>5</v>
      </c>
      <c r="B11" t="s">
        <v>7</v>
      </c>
    </row>
    <row r="12" spans="1:2" ht="15">
      <c r="A12" s="3">
        <v>8</v>
      </c>
      <c r="B12" t="s">
        <v>8</v>
      </c>
    </row>
    <row r="13" spans="1:2" ht="15">
      <c r="A13" s="3">
        <v>12</v>
      </c>
      <c r="B13" t="s">
        <v>10</v>
      </c>
    </row>
    <row r="14" spans="1:2" ht="15">
      <c r="A14" s="3">
        <v>13</v>
      </c>
      <c r="B14" t="s">
        <v>6</v>
      </c>
    </row>
    <row r="15" ht="15">
      <c r="A15" s="3"/>
    </row>
    <row r="16" spans="1:2" ht="15">
      <c r="A16" s="3"/>
      <c r="B16" s="8" t="s">
        <v>23</v>
      </c>
    </row>
    <row r="17" spans="1:2" ht="15">
      <c r="A17" s="3">
        <v>375</v>
      </c>
      <c r="B17" t="s">
        <v>12</v>
      </c>
    </row>
    <row r="18" spans="1:2" ht="15">
      <c r="A18" s="4">
        <v>2.5</v>
      </c>
      <c r="B18" t="s">
        <v>11</v>
      </c>
    </row>
    <row r="19" spans="1:2" ht="15">
      <c r="A19" s="5">
        <v>15800</v>
      </c>
      <c r="B19" t="s">
        <v>13</v>
      </c>
    </row>
    <row r="20" spans="1:2" ht="15">
      <c r="A20" s="3">
        <f>A19*(1/1000)*A17</f>
        <v>5925</v>
      </c>
      <c r="B20" t="s">
        <v>14</v>
      </c>
    </row>
    <row r="21" spans="1:2" ht="15">
      <c r="A21" s="3">
        <f>A20/2000</f>
        <v>2.9625</v>
      </c>
      <c r="B21" t="s">
        <v>15</v>
      </c>
    </row>
    <row r="22" ht="15">
      <c r="A22" s="3"/>
    </row>
    <row r="23" spans="1:2" ht="15">
      <c r="A23" s="3"/>
      <c r="B23" s="8" t="s">
        <v>24</v>
      </c>
    </row>
    <row r="24" spans="1:2" ht="15">
      <c r="A24" s="4">
        <v>0.53</v>
      </c>
      <c r="B24" t="s">
        <v>17</v>
      </c>
    </row>
    <row r="25" spans="1:2" ht="15">
      <c r="A25" s="5">
        <v>10900</v>
      </c>
      <c r="B25" t="s">
        <v>16</v>
      </c>
    </row>
    <row r="26" spans="1:2" ht="15">
      <c r="A26" s="3">
        <f>A25*A24</f>
        <v>5777</v>
      </c>
      <c r="B26" t="s">
        <v>19</v>
      </c>
    </row>
    <row r="27" spans="1:2" ht="15">
      <c r="A27" s="3">
        <f>A26/2000</f>
        <v>2.8885</v>
      </c>
      <c r="B27" t="s">
        <v>18</v>
      </c>
    </row>
    <row r="28" ht="15">
      <c r="A28" s="4"/>
    </row>
    <row r="29" spans="1:2" ht="15">
      <c r="A29" s="4"/>
      <c r="B29" s="8" t="s">
        <v>26</v>
      </c>
    </row>
    <row r="30" spans="1:2" ht="15">
      <c r="A30" s="3">
        <v>8</v>
      </c>
      <c r="B30" t="s">
        <v>25</v>
      </c>
    </row>
    <row r="31" ht="15">
      <c r="B31" t="s">
        <v>27</v>
      </c>
    </row>
    <row r="32" ht="15">
      <c r="B32" t="s">
        <v>28</v>
      </c>
    </row>
    <row r="33" ht="15">
      <c r="B33" t="s">
        <v>29</v>
      </c>
    </row>
    <row r="34" ht="15">
      <c r="B34" t="s">
        <v>20</v>
      </c>
    </row>
    <row r="36" spans="1:2" ht="15">
      <c r="A36" s="9">
        <v>3500</v>
      </c>
      <c r="B36" s="7" t="s">
        <v>90</v>
      </c>
    </row>
    <row r="37" spans="1:2" ht="15">
      <c r="A37" s="9">
        <f>ROUNDUP(A36*A4,-3)</f>
        <v>46000</v>
      </c>
      <c r="B37" s="7" t="s">
        <v>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5">
      <selection activeCell="A51" sqref="A51"/>
    </sheetView>
  </sheetViews>
  <sheetFormatPr defaultColWidth="9.140625" defaultRowHeight="15"/>
  <cols>
    <col min="1" max="1" width="9.8515625" style="1" bestFit="1" customWidth="1"/>
  </cols>
  <sheetData>
    <row r="1" ht="15">
      <c r="B1" s="8" t="s">
        <v>43</v>
      </c>
    </row>
    <row r="2" spans="1:2" ht="15">
      <c r="A2" s="1">
        <v>20</v>
      </c>
      <c r="B2" t="s">
        <v>30</v>
      </c>
    </row>
    <row r="3" spans="1:2" ht="15">
      <c r="A3" s="5">
        <f>A2*100</f>
        <v>2000</v>
      </c>
      <c r="B3" t="s">
        <v>31</v>
      </c>
    </row>
    <row r="4" spans="1:2" ht="15">
      <c r="A4" s="5">
        <f>A3/3.785</f>
        <v>528.4015852047556</v>
      </c>
      <c r="B4" t="s">
        <v>32</v>
      </c>
    </row>
    <row r="5" spans="1:2" ht="15">
      <c r="A5" s="5">
        <v>1</v>
      </c>
      <c r="B5" t="s">
        <v>52</v>
      </c>
    </row>
    <row r="6" ht="15">
      <c r="A6" s="5"/>
    </row>
    <row r="7" spans="1:2" ht="15">
      <c r="A7" s="5"/>
      <c r="B7" s="8" t="s">
        <v>36</v>
      </c>
    </row>
    <row r="8" spans="1:2" ht="15">
      <c r="A8" s="1">
        <v>1000</v>
      </c>
      <c r="B8" t="s">
        <v>33</v>
      </c>
    </row>
    <row r="9" spans="1:2" ht="15">
      <c r="A9" s="3">
        <v>500</v>
      </c>
      <c r="B9" t="s">
        <v>34</v>
      </c>
    </row>
    <row r="10" spans="1:2" ht="15">
      <c r="A10" s="1">
        <v>3</v>
      </c>
      <c r="B10" t="s">
        <v>54</v>
      </c>
    </row>
    <row r="11" ht="15">
      <c r="B11" t="s">
        <v>55</v>
      </c>
    </row>
    <row r="12" spans="1:2" ht="15">
      <c r="A12" s="9">
        <f>A9*A10</f>
        <v>1500</v>
      </c>
      <c r="B12" s="7" t="s">
        <v>35</v>
      </c>
    </row>
    <row r="14" ht="15">
      <c r="B14" s="8" t="s">
        <v>37</v>
      </c>
    </row>
    <row r="15" spans="1:2" ht="15">
      <c r="A15" s="3">
        <v>500</v>
      </c>
      <c r="B15" t="s">
        <v>39</v>
      </c>
    </row>
    <row r="16" spans="1:2" ht="15">
      <c r="A16" s="10">
        <v>10</v>
      </c>
      <c r="B16" t="s">
        <v>40</v>
      </c>
    </row>
    <row r="17" spans="1:2" ht="15">
      <c r="A17" s="1">
        <v>2</v>
      </c>
      <c r="B17" t="s">
        <v>38</v>
      </c>
    </row>
    <row r="18" spans="1:2" ht="15">
      <c r="A18" s="9">
        <f>A15*A17</f>
        <v>1000</v>
      </c>
      <c r="B18" s="7" t="s">
        <v>41</v>
      </c>
    </row>
    <row r="19" ht="15"/>
    <row r="20" ht="15">
      <c r="B20" s="8" t="s">
        <v>44</v>
      </c>
    </row>
    <row r="21" spans="1:2" ht="15">
      <c r="A21" s="5">
        <v>1000</v>
      </c>
      <c r="B21" t="s">
        <v>45</v>
      </c>
    </row>
    <row r="22" spans="1:2" ht="15">
      <c r="A22" s="4">
        <v>0.5</v>
      </c>
      <c r="B22" t="s">
        <v>46</v>
      </c>
    </row>
    <row r="23" spans="1:2" ht="15">
      <c r="A23" s="3">
        <f>A21*A22</f>
        <v>500</v>
      </c>
      <c r="B23" t="s">
        <v>47</v>
      </c>
    </row>
    <row r="24" spans="1:2" ht="15">
      <c r="A24" s="1">
        <v>4</v>
      </c>
      <c r="B24" t="s">
        <v>48</v>
      </c>
    </row>
    <row r="25" spans="1:2" ht="15">
      <c r="A25" s="3">
        <v>80</v>
      </c>
      <c r="B25" t="s">
        <v>49</v>
      </c>
    </row>
    <row r="26" spans="1:2" ht="15">
      <c r="A26" s="3">
        <f>A24*A25</f>
        <v>320</v>
      </c>
      <c r="B26" t="s">
        <v>50</v>
      </c>
    </row>
    <row r="27" spans="1:2" ht="15">
      <c r="A27" s="9">
        <f>A23+A26</f>
        <v>820</v>
      </c>
      <c r="B27" s="7" t="s">
        <v>51</v>
      </c>
    </row>
    <row r="29" ht="15">
      <c r="B29" s="8" t="s">
        <v>53</v>
      </c>
    </row>
    <row r="30" spans="1:2" ht="15">
      <c r="A30" s="9">
        <v>1000</v>
      </c>
      <c r="B30" s="7" t="s">
        <v>72</v>
      </c>
    </row>
    <row r="31" ht="15">
      <c r="B31" t="s">
        <v>74</v>
      </c>
    </row>
    <row r="32" ht="15"/>
    <row r="33" ht="15">
      <c r="B33" s="8" t="s">
        <v>56</v>
      </c>
    </row>
    <row r="34" ht="15">
      <c r="B34" s="11" t="s">
        <v>60</v>
      </c>
    </row>
    <row r="35" spans="1:2" ht="15">
      <c r="A35" s="1">
        <v>0.04</v>
      </c>
      <c r="B35" t="s">
        <v>57</v>
      </c>
    </row>
    <row r="36" spans="1:2" ht="15">
      <c r="A36" s="1">
        <v>1000</v>
      </c>
      <c r="B36" t="s">
        <v>58</v>
      </c>
    </row>
    <row r="37" spans="1:2" ht="15">
      <c r="A37" s="6">
        <f>A36*(1/A35)*(1/60)*(1/24)</f>
        <v>17.36111111111111</v>
      </c>
      <c r="B37" t="s">
        <v>59</v>
      </c>
    </row>
    <row r="38" spans="1:2" ht="15">
      <c r="A38" s="6">
        <f>(1/4)*PI()*(64/12)^2</f>
        <v>22.340214425527417</v>
      </c>
      <c r="B38" t="s">
        <v>65</v>
      </c>
    </row>
    <row r="39" ht="15">
      <c r="B39" t="s">
        <v>62</v>
      </c>
    </row>
    <row r="40" ht="15">
      <c r="B40" t="s">
        <v>61</v>
      </c>
    </row>
    <row r="41" spans="1:2" ht="15">
      <c r="A41" s="3">
        <f>A9</f>
        <v>500</v>
      </c>
      <c r="B41" t="s">
        <v>63</v>
      </c>
    </row>
    <row r="42" spans="1:2" ht="15">
      <c r="A42" s="4">
        <v>0.1</v>
      </c>
      <c r="B42" t="s">
        <v>66</v>
      </c>
    </row>
    <row r="43" spans="1:2" ht="15">
      <c r="A43" s="1">
        <v>125</v>
      </c>
      <c r="B43" t="s">
        <v>67</v>
      </c>
    </row>
    <row r="44" spans="1:2" ht="15">
      <c r="A44" s="2">
        <f>A38*(18/12+30/12)</f>
        <v>89.36085770210967</v>
      </c>
      <c r="B44" t="s">
        <v>68</v>
      </c>
    </row>
    <row r="45" spans="1:2" ht="15">
      <c r="A45" s="3">
        <f>A44*A43*A42</f>
        <v>1117.010721276371</v>
      </c>
      <c r="B45" t="s">
        <v>64</v>
      </c>
    </row>
    <row r="46" spans="1:2" ht="15">
      <c r="A46" s="3">
        <f>A45+A41</f>
        <v>1617.010721276371</v>
      </c>
      <c r="B46" t="s">
        <v>69</v>
      </c>
    </row>
    <row r="47" spans="1:2" ht="15">
      <c r="A47" s="1">
        <v>2</v>
      </c>
      <c r="B47" t="s">
        <v>70</v>
      </c>
    </row>
    <row r="48" spans="1:2" ht="15">
      <c r="A48" s="3">
        <v>155</v>
      </c>
      <c r="B48" t="s">
        <v>71</v>
      </c>
    </row>
    <row r="49" spans="1:2" ht="15">
      <c r="A49" s="9">
        <f>ROUNDUP(A46*A47+A48,-2)</f>
        <v>3400</v>
      </c>
      <c r="B49" s="7" t="s">
        <v>91</v>
      </c>
    </row>
    <row r="51" spans="1:2" ht="15">
      <c r="A51" s="9">
        <f>ROUNDUP(A12+A18+A27+A30+A49,-3)</f>
        <v>8000</v>
      </c>
      <c r="B51" s="7" t="s">
        <v>73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9.140625" style="1" customWidth="1"/>
  </cols>
  <sheetData>
    <row r="1" ht="15">
      <c r="B1" s="8" t="s">
        <v>75</v>
      </c>
    </row>
    <row r="2" spans="1:2" ht="15">
      <c r="A2" s="1">
        <f>shelter!A4</f>
        <v>13</v>
      </c>
      <c r="B2" t="s">
        <v>76</v>
      </c>
    </row>
    <row r="3" ht="15">
      <c r="B3" t="s">
        <v>96</v>
      </c>
    </row>
    <row r="4" ht="15">
      <c r="B4" t="s">
        <v>97</v>
      </c>
    </row>
    <row r="6" ht="15">
      <c r="B6" s="8" t="s">
        <v>78</v>
      </c>
    </row>
    <row r="7" spans="1:2" ht="15">
      <c r="A7" s="1">
        <v>16</v>
      </c>
      <c r="B7" t="s">
        <v>77</v>
      </c>
    </row>
    <row r="8" spans="1:2" ht="15">
      <c r="A8" s="3">
        <f>shelter!A30</f>
        <v>8</v>
      </c>
      <c r="B8" t="s">
        <v>80</v>
      </c>
    </row>
    <row r="9" spans="1:2" ht="15">
      <c r="A9" s="3">
        <f>A7*A8</f>
        <v>128</v>
      </c>
      <c r="B9" t="s">
        <v>79</v>
      </c>
    </row>
    <row r="10" ht="15"/>
    <row r="11" ht="15">
      <c r="B11" s="8" t="s">
        <v>82</v>
      </c>
    </row>
    <row r="12" ht="15">
      <c r="B12" t="s">
        <v>84</v>
      </c>
    </row>
    <row r="13" ht="15">
      <c r="B13" t="s">
        <v>81</v>
      </c>
    </row>
    <row r="14" spans="1:2" ht="15">
      <c r="A14" s="1">
        <f>0.5*A7</f>
        <v>8</v>
      </c>
      <c r="B14" t="s">
        <v>83</v>
      </c>
    </row>
    <row r="15" spans="1:2" ht="15">
      <c r="A15" s="1">
        <f>0.5*A7</f>
        <v>8</v>
      </c>
      <c r="B15" t="s">
        <v>85</v>
      </c>
    </row>
    <row r="16" spans="1:2" ht="15">
      <c r="A16" s="1">
        <f>(4+4+4+4+4)*3*0.5</f>
        <v>30</v>
      </c>
      <c r="B16" t="s">
        <v>86</v>
      </c>
    </row>
    <row r="17" spans="1:2" ht="15">
      <c r="A17" s="1">
        <v>8</v>
      </c>
      <c r="B17" t="s">
        <v>87</v>
      </c>
    </row>
    <row r="18" spans="1:2" ht="15">
      <c r="A18" s="3">
        <f>(A14+A15+A16)*A17</f>
        <v>368</v>
      </c>
      <c r="B18" t="s">
        <v>88</v>
      </c>
    </row>
    <row r="20" ht="15">
      <c r="B20" s="8" t="s">
        <v>95</v>
      </c>
    </row>
    <row r="21" spans="1:2" ht="15">
      <c r="A21" s="3">
        <v>200</v>
      </c>
      <c r="B21" t="s">
        <v>89</v>
      </c>
    </row>
    <row r="23" spans="1:2" ht="15">
      <c r="A23" s="9">
        <f>ROUNDUP(A9+A18+A21,-2)</f>
        <v>700</v>
      </c>
      <c r="B23" s="7" t="s">
        <v>92</v>
      </c>
    </row>
    <row r="24" spans="1:2" ht="15">
      <c r="A24" s="9">
        <f>ROUND(A23*A2,-3)</f>
        <v>9000</v>
      </c>
      <c r="B24" s="7" t="s">
        <v>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Hazen and Sawyer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emccallum</dc:creator>
  <cp:keywords/>
  <dc:description/>
  <cp:lastModifiedBy>Rachel</cp:lastModifiedBy>
  <dcterms:created xsi:type="dcterms:W3CDTF">2010-10-30T19:38:16Z</dcterms:created>
  <dcterms:modified xsi:type="dcterms:W3CDTF">2011-03-29T02:45:00Z</dcterms:modified>
  <cp:category/>
  <cp:version/>
  <cp:contentType/>
  <cp:contentStatus/>
</cp:coreProperties>
</file>