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raine\Desktop\Rise 2 Shine 2021\Global Giving\"/>
    </mc:Choice>
  </mc:AlternateContent>
  <bookViews>
    <workbookView xWindow="0" yWindow="0" windowWidth="20490" windowHeight="7755" firstSheet="1" activeTab="1"/>
  </bookViews>
  <sheets>
    <sheet name="Draft Budget" sheetId="1" r:id="rId1"/>
    <sheet name="Budget Explanation Y 2022" sheetId="2" r:id="rId2"/>
    <sheet name="Budget explanation Y 2023" sheetId="4" r:id="rId3"/>
    <sheet name="Program Activites Y 2022" sheetId="3" r:id="rId4"/>
    <sheet name="Program Activites Y 2023" sheetId="5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5" i="1" l="1"/>
  <c r="C76" i="1"/>
  <c r="C77" i="1"/>
  <c r="E4" i="1"/>
  <c r="D4" i="1"/>
  <c r="D71" i="1"/>
  <c r="D75" i="1"/>
  <c r="D76" i="1"/>
  <c r="D77" i="1"/>
  <c r="E75" i="1"/>
  <c r="E76" i="1"/>
  <c r="E77" i="1"/>
  <c r="B6" i="1"/>
  <c r="B7" i="1"/>
  <c r="B8" i="1"/>
  <c r="B9" i="1"/>
  <c r="B10" i="1"/>
  <c r="B11" i="1"/>
  <c r="B12" i="1"/>
  <c r="B13" i="1"/>
  <c r="B15" i="1"/>
  <c r="B16" i="1"/>
  <c r="B17" i="1"/>
  <c r="B22" i="1"/>
  <c r="B24" i="1"/>
  <c r="B25" i="1"/>
  <c r="B26" i="1"/>
  <c r="B27" i="1"/>
  <c r="B28" i="1"/>
  <c r="B29" i="1"/>
  <c r="B30" i="1"/>
  <c r="B32" i="1"/>
  <c r="B33" i="1"/>
  <c r="B34" i="1"/>
  <c r="B36" i="1"/>
  <c r="B38" i="1"/>
  <c r="B40" i="1"/>
  <c r="B41" i="1"/>
  <c r="B42" i="1"/>
  <c r="B43" i="1"/>
  <c r="B44" i="1"/>
  <c r="B46" i="1"/>
  <c r="C50" i="1"/>
  <c r="B50" i="1"/>
  <c r="C51" i="1"/>
  <c r="B51" i="1"/>
  <c r="C52" i="1"/>
  <c r="B52" i="1"/>
  <c r="C53" i="1"/>
  <c r="B53" i="1"/>
  <c r="C54" i="1"/>
  <c r="B54" i="1"/>
  <c r="C55" i="1"/>
  <c r="B55" i="1"/>
  <c r="C56" i="1"/>
  <c r="B56" i="1"/>
  <c r="B57" i="1"/>
  <c r="B58" i="1"/>
  <c r="B59" i="1"/>
  <c r="C61" i="1"/>
  <c r="B61" i="1"/>
  <c r="C62" i="1"/>
  <c r="B62" i="1"/>
  <c r="C63" i="1"/>
  <c r="B63" i="1"/>
  <c r="C64" i="1"/>
  <c r="B64" i="1"/>
  <c r="C65" i="1"/>
  <c r="B65" i="1"/>
  <c r="C66" i="1"/>
  <c r="B66" i="1"/>
  <c r="C67" i="1"/>
  <c r="B67" i="1"/>
  <c r="C68" i="1"/>
  <c r="B68" i="1"/>
  <c r="B69" i="1"/>
  <c r="B71" i="1"/>
  <c r="B75" i="1"/>
  <c r="B76" i="1"/>
  <c r="B4" i="1"/>
  <c r="B77" i="1"/>
  <c r="C13" i="1"/>
  <c r="C22" i="1"/>
  <c r="C30" i="1"/>
  <c r="C34" i="1"/>
  <c r="C44" i="1"/>
  <c r="C46" i="1"/>
  <c r="C59" i="1"/>
  <c r="C69" i="1"/>
  <c r="C6" i="4"/>
  <c r="I20" i="4"/>
  <c r="G13" i="4"/>
  <c r="I13" i="4"/>
  <c r="F5" i="5"/>
  <c r="I5" i="5"/>
  <c r="E53" i="1"/>
  <c r="D53" i="1"/>
  <c r="F15" i="4"/>
  <c r="G15" i="4"/>
  <c r="I15" i="4"/>
  <c r="F8" i="5"/>
  <c r="I8" i="5"/>
  <c r="E55" i="1"/>
  <c r="D55" i="1"/>
  <c r="I7" i="5"/>
  <c r="E56" i="1"/>
  <c r="D56" i="1"/>
  <c r="E50" i="1"/>
  <c r="D50" i="1"/>
  <c r="E51" i="1"/>
  <c r="D51" i="1"/>
  <c r="E52" i="1"/>
  <c r="D52" i="1"/>
  <c r="E54" i="1"/>
  <c r="D54" i="1"/>
  <c r="E57" i="1"/>
  <c r="D57" i="1"/>
  <c r="E58" i="1"/>
  <c r="D58" i="1"/>
  <c r="D59" i="1"/>
  <c r="E59" i="1"/>
  <c r="C4" i="4"/>
  <c r="C5" i="4"/>
  <c r="C8" i="4"/>
  <c r="C3" i="4"/>
  <c r="I23" i="4"/>
  <c r="E68" i="1"/>
  <c r="I22" i="4"/>
  <c r="E67" i="1"/>
  <c r="E66" i="1"/>
  <c r="E65" i="1"/>
  <c r="I19" i="4"/>
  <c r="E64" i="1"/>
  <c r="I18" i="4"/>
  <c r="E63" i="1"/>
  <c r="I17" i="4"/>
  <c r="E62" i="1"/>
  <c r="D3" i="4"/>
  <c r="F3" i="4"/>
  <c r="G3" i="4"/>
  <c r="I3" i="4"/>
  <c r="D4" i="4"/>
  <c r="F4" i="4"/>
  <c r="G4" i="4"/>
  <c r="I4" i="4"/>
  <c r="D5" i="4"/>
  <c r="F5" i="4"/>
  <c r="G5" i="4"/>
  <c r="I5" i="4"/>
  <c r="D6" i="4"/>
  <c r="F6" i="4"/>
  <c r="G6" i="4"/>
  <c r="I6" i="4"/>
  <c r="D7" i="4"/>
  <c r="F7" i="4"/>
  <c r="G7" i="4"/>
  <c r="I7" i="4"/>
  <c r="D8" i="4"/>
  <c r="F8" i="4"/>
  <c r="G8" i="4"/>
  <c r="I8" i="4"/>
  <c r="G2" i="4"/>
  <c r="I2" i="4"/>
  <c r="G9" i="4"/>
  <c r="I9" i="4"/>
  <c r="I10" i="4"/>
  <c r="E61" i="1"/>
  <c r="D41" i="1"/>
  <c r="D42" i="1"/>
  <c r="D43" i="1"/>
  <c r="D40" i="1"/>
  <c r="D44" i="1"/>
  <c r="D38" i="1"/>
  <c r="D27" i="1"/>
  <c r="D28" i="1"/>
  <c r="D24" i="1"/>
  <c r="D25" i="1"/>
  <c r="D26" i="1"/>
  <c r="D29" i="1"/>
  <c r="D30" i="1"/>
  <c r="D15" i="1"/>
  <c r="D16" i="1"/>
  <c r="D17" i="1"/>
  <c r="D18" i="1"/>
  <c r="D19" i="1"/>
  <c r="D20" i="1"/>
  <c r="D21" i="1"/>
  <c r="D22" i="1"/>
  <c r="D7" i="1"/>
  <c r="D8" i="1"/>
  <c r="D9" i="1"/>
  <c r="D10" i="1"/>
  <c r="D11" i="1"/>
  <c r="D12" i="1"/>
  <c r="D6" i="1"/>
  <c r="D13" i="1"/>
  <c r="D32" i="1"/>
  <c r="D33" i="1"/>
  <c r="D34" i="1"/>
  <c r="D36" i="1"/>
  <c r="D46" i="1"/>
  <c r="E44" i="1"/>
  <c r="E30" i="1"/>
  <c r="E22" i="1"/>
  <c r="E13" i="1"/>
  <c r="E34" i="1"/>
  <c r="E46" i="1"/>
  <c r="F7" i="5"/>
  <c r="I12" i="5"/>
  <c r="J12" i="5"/>
  <c r="I11" i="5"/>
  <c r="J11" i="5"/>
  <c r="I10" i="5"/>
  <c r="J10" i="5"/>
  <c r="I9" i="5"/>
  <c r="J9" i="5"/>
  <c r="J8" i="5"/>
  <c r="J7" i="5"/>
  <c r="I6" i="5"/>
  <c r="J6" i="5"/>
  <c r="J5" i="5"/>
  <c r="I4" i="5"/>
  <c r="J4" i="5"/>
  <c r="I3" i="5"/>
  <c r="J3" i="5"/>
  <c r="I2" i="5"/>
  <c r="J2" i="5"/>
  <c r="D15" i="2"/>
  <c r="F15" i="2"/>
  <c r="G15" i="2"/>
  <c r="I15" i="2"/>
  <c r="F8" i="3"/>
  <c r="F7" i="3"/>
  <c r="G13" i="2"/>
  <c r="I13" i="2"/>
  <c r="F5" i="3"/>
  <c r="J18" i="4"/>
  <c r="J19" i="4"/>
  <c r="J20" i="4"/>
  <c r="J21" i="4"/>
  <c r="J22" i="4"/>
  <c r="J23" i="4"/>
  <c r="I21" i="4"/>
  <c r="H18" i="4"/>
  <c r="H19" i="4"/>
  <c r="H20" i="4"/>
  <c r="H21" i="4"/>
  <c r="H22" i="4"/>
  <c r="H23" i="4"/>
  <c r="J17" i="4"/>
  <c r="H17" i="4"/>
  <c r="J14" i="4"/>
  <c r="J15" i="4"/>
  <c r="J13" i="4"/>
  <c r="I14" i="4"/>
  <c r="H14" i="4"/>
  <c r="H15" i="4"/>
  <c r="G14" i="4"/>
  <c r="F14" i="4"/>
  <c r="H13" i="4"/>
  <c r="J3" i="4"/>
  <c r="J4" i="4"/>
  <c r="J5" i="4"/>
  <c r="J6" i="4"/>
  <c r="J7" i="4"/>
  <c r="J8" i="4"/>
  <c r="J9" i="4"/>
  <c r="J2" i="4"/>
  <c r="H3" i="4"/>
  <c r="H4" i="4"/>
  <c r="H5" i="4"/>
  <c r="H6" i="4"/>
  <c r="H7" i="4"/>
  <c r="H8" i="4"/>
  <c r="H9" i="4"/>
  <c r="H2" i="4"/>
  <c r="J10" i="4"/>
  <c r="H10" i="4"/>
  <c r="D10" i="4"/>
  <c r="E10" i="4"/>
  <c r="F10" i="4"/>
  <c r="G10" i="4"/>
  <c r="C10" i="4"/>
  <c r="I8" i="3"/>
  <c r="I7" i="3"/>
  <c r="H15" i="2"/>
  <c r="J15" i="2"/>
  <c r="J14" i="2"/>
  <c r="I14" i="2"/>
  <c r="H14" i="2"/>
  <c r="F14" i="2"/>
  <c r="D14" i="2"/>
  <c r="G14" i="2"/>
  <c r="I6" i="3"/>
  <c r="I5" i="3"/>
  <c r="I3" i="3"/>
  <c r="I4" i="3"/>
  <c r="I9" i="3"/>
  <c r="I10" i="3"/>
  <c r="I11" i="3"/>
  <c r="I12" i="3"/>
  <c r="I2" i="3"/>
  <c r="J5" i="3"/>
  <c r="J6" i="3"/>
  <c r="J7" i="3"/>
  <c r="J8" i="3"/>
  <c r="J9" i="3"/>
  <c r="J10" i="3"/>
  <c r="J11" i="3"/>
  <c r="J12" i="3"/>
  <c r="J3" i="3"/>
  <c r="J4" i="3"/>
  <c r="J2" i="3"/>
  <c r="I23" i="2"/>
  <c r="I22" i="2"/>
  <c r="I20" i="2"/>
  <c r="I19" i="2"/>
  <c r="I18" i="2"/>
  <c r="H22" i="2"/>
  <c r="J22" i="2"/>
  <c r="J21" i="2"/>
  <c r="I21" i="2"/>
  <c r="H20" i="2"/>
  <c r="J20" i="2"/>
  <c r="H19" i="2"/>
  <c r="H21" i="2"/>
  <c r="H23" i="2"/>
  <c r="H24" i="2"/>
  <c r="H18" i="2"/>
  <c r="H17" i="2"/>
  <c r="H13" i="2"/>
  <c r="G3" i="2"/>
  <c r="H3" i="2"/>
  <c r="F4" i="2"/>
  <c r="D4" i="2"/>
  <c r="G4" i="2"/>
  <c r="H4" i="2"/>
  <c r="F5" i="2"/>
  <c r="G5" i="2"/>
  <c r="H5" i="2"/>
  <c r="F6" i="2"/>
  <c r="G6" i="2"/>
  <c r="H6" i="2"/>
  <c r="F7" i="2"/>
  <c r="G7" i="2"/>
  <c r="H7" i="2"/>
  <c r="F8" i="2"/>
  <c r="G8" i="2"/>
  <c r="H8" i="2"/>
  <c r="F9" i="2"/>
  <c r="G9" i="2"/>
  <c r="H9" i="2"/>
  <c r="D62" i="1"/>
  <c r="D63" i="1"/>
  <c r="D64" i="1"/>
  <c r="D65" i="1"/>
  <c r="D66" i="1"/>
  <c r="D67" i="1"/>
  <c r="D68" i="1"/>
  <c r="D61" i="1"/>
  <c r="B18" i="1"/>
  <c r="B19" i="1"/>
  <c r="B20" i="1"/>
  <c r="B21" i="1"/>
  <c r="I3" i="2"/>
  <c r="I4" i="2"/>
  <c r="I5" i="2"/>
  <c r="I6" i="2"/>
  <c r="I7" i="2"/>
  <c r="I8" i="2"/>
  <c r="I9" i="2"/>
  <c r="I10" i="2"/>
  <c r="H2" i="2"/>
  <c r="J19" i="2"/>
  <c r="J18" i="2"/>
  <c r="J23" i="2"/>
  <c r="J24" i="2"/>
  <c r="I24" i="2"/>
  <c r="J17" i="2"/>
  <c r="I17" i="2"/>
  <c r="I2" i="2"/>
  <c r="J13" i="2"/>
  <c r="F3" i="2"/>
  <c r="D5" i="2"/>
  <c r="D6" i="2"/>
  <c r="D7" i="2"/>
  <c r="D8" i="2"/>
  <c r="D3" i="2"/>
  <c r="J4" i="2"/>
  <c r="J3" i="2"/>
  <c r="J5" i="2"/>
  <c r="J6" i="2"/>
  <c r="J7" i="2"/>
  <c r="J8" i="2"/>
  <c r="J9" i="2"/>
  <c r="G2" i="2"/>
  <c r="J2" i="2"/>
  <c r="J10" i="2"/>
  <c r="H10" i="2"/>
  <c r="D10" i="2"/>
  <c r="E10" i="2"/>
  <c r="F10" i="2"/>
  <c r="G10" i="2"/>
  <c r="C10" i="2"/>
  <c r="E69" i="1"/>
  <c r="D69" i="1"/>
  <c r="E48" i="1"/>
  <c r="C48" i="1"/>
</calcChain>
</file>

<file path=xl/comments1.xml><?xml version="1.0" encoding="utf-8"?>
<comments xmlns="http://schemas.openxmlformats.org/spreadsheetml/2006/main">
  <authors>
    <author>Alli O'Connell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3" authorId="0" shapeId="0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5" authorId="0" shapeId="0">
      <text>
        <r>
          <rPr>
            <sz val="9"/>
            <color indexed="81"/>
            <rFont val="Calibri"/>
            <family val="2"/>
          </rPr>
          <t>Add a line for each corporate donation and corresponding amount 
Ex. Bob's Shoes Corporation: $5,000</t>
        </r>
      </text>
    </comment>
    <comment ref="A24" authorId="0" shapeId="0">
      <text>
        <r>
          <rPr>
            <b/>
            <sz val="9"/>
            <color indexed="81"/>
            <rFont val="Calibri"/>
            <family val="2"/>
          </rPr>
          <t>Add a line for each grant and grant amount. 
Example: Triunfo Foundation Grant,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40" authorId="0" shapeId="0">
      <text>
        <r>
          <rPr>
            <b/>
            <sz val="9"/>
            <color indexed="81"/>
            <rFont val="Calibri"/>
            <family val="2"/>
          </rPr>
          <t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52" authorId="0" shapeId="0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69" authorId="0" shapeId="0">
      <text>
        <r>
          <rPr>
            <b/>
            <sz val="9"/>
            <color indexed="81"/>
            <rFont val="Calibri"/>
            <family val="2"/>
          </rPr>
          <t>Add a separate line for each overhead item. 
Ex. Office supplies, $100</t>
        </r>
      </text>
    </comment>
    <comment ref="B76" authorId="0" shapeId="0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C76" authorId="0" shapeId="0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76" authorId="0" shapeId="0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<sst xmlns="http://schemas.openxmlformats.org/spreadsheetml/2006/main" count="173" uniqueCount="122">
  <si>
    <t xml:space="preserve">Lobbying activities </t>
    <phoneticPr fontId="1" type="noConversion"/>
  </si>
  <si>
    <t>Income</t>
    <phoneticPr fontId="1" type="noConversion"/>
  </si>
  <si>
    <t>Total Income</t>
    <phoneticPr fontId="1" type="noConversion"/>
  </si>
  <si>
    <t>Expenses</t>
    <phoneticPr fontId="1" type="noConversion"/>
  </si>
  <si>
    <t>Total Expenses</t>
    <phoneticPr fontId="1" type="noConversion"/>
  </si>
  <si>
    <t>Individual Donations</t>
  </si>
  <si>
    <t>Grants</t>
  </si>
  <si>
    <t>Events and Fundraising</t>
  </si>
  <si>
    <t>Membership Fees</t>
  </si>
  <si>
    <t>Overhead</t>
  </si>
  <si>
    <t xml:space="preserve">Corporate Donations </t>
  </si>
  <si>
    <t xml:space="preserve">USD </t>
    <phoneticPr fontId="1" type="noConversion"/>
  </si>
  <si>
    <t>USD</t>
    <phoneticPr fontId="1" type="noConversion"/>
  </si>
  <si>
    <t>Local Currency</t>
    <phoneticPr fontId="1" type="noConversion"/>
  </si>
  <si>
    <t>Interest Earned</t>
    <phoneticPr fontId="1" type="noConversion"/>
  </si>
  <si>
    <t>Programmatic Activities</t>
  </si>
  <si>
    <r>
      <rPr>
        <b/>
        <sz val="11"/>
        <color indexed="8"/>
        <rFont val="Open Sans"/>
      </rPr>
      <t xml:space="preserve">Other </t>
    </r>
  </si>
  <si>
    <t>Total Individual Donations</t>
  </si>
  <si>
    <r>
      <t>Current Year</t>
    </r>
    <r>
      <rPr>
        <b/>
        <sz val="12"/>
        <color rgb="FFFF0000"/>
        <rFont val="Open Sans"/>
      </rPr>
      <t xml:space="preserve"> </t>
    </r>
    <r>
      <rPr>
        <b/>
        <sz val="12"/>
        <color theme="9" tint="-0.249977111117893"/>
        <rFont val="Open Sans"/>
      </rPr>
      <t>(2022)</t>
    </r>
  </si>
  <si>
    <t>Total Corporate Donations</t>
  </si>
  <si>
    <t>Total Grants</t>
  </si>
  <si>
    <t>Total Events and Fundraising</t>
  </si>
  <si>
    <t>Next Year (2023)</t>
  </si>
  <si>
    <t>Youth Conference</t>
  </si>
  <si>
    <t>Volunteer training</t>
  </si>
  <si>
    <t>Rise 2 Shine prevention intervention clubs</t>
  </si>
  <si>
    <t>Total Program Activites</t>
  </si>
  <si>
    <t>Total Overhead Cost</t>
  </si>
  <si>
    <t>Office Hire</t>
  </si>
  <si>
    <t>Office Stationery (Ink, copy paper, etc)</t>
  </si>
  <si>
    <t>Bank fees</t>
  </si>
  <si>
    <t>Total Other expences</t>
  </si>
  <si>
    <t>Total Balances</t>
  </si>
  <si>
    <t>USD</t>
  </si>
  <si>
    <t>Office furniture</t>
  </si>
  <si>
    <t>Laptops</t>
  </si>
  <si>
    <t>Pledging Ceremonies</t>
  </si>
  <si>
    <t>Roadshows</t>
  </si>
  <si>
    <t>Transport costs/fuel/S&amp;T</t>
  </si>
  <si>
    <t>Educational Support activities</t>
  </si>
  <si>
    <t>Donor 1</t>
  </si>
  <si>
    <t>Donor 2</t>
  </si>
  <si>
    <t>Donor 3</t>
  </si>
  <si>
    <t>Halle Investment CC</t>
  </si>
  <si>
    <t>One Economy Foundation</t>
  </si>
  <si>
    <t>Staff Salares</t>
  </si>
  <si>
    <t>Basic</t>
  </si>
  <si>
    <t>Pension</t>
  </si>
  <si>
    <t>Medical</t>
  </si>
  <si>
    <t>Social Security</t>
  </si>
  <si>
    <t>National Coordinator</t>
  </si>
  <si>
    <t>% of time allocated to program</t>
  </si>
  <si>
    <t>Total Staff Salaries</t>
  </si>
  <si>
    <t>Education Coordinator</t>
  </si>
  <si>
    <t>Total Local currency P.M</t>
  </si>
  <si>
    <t>Total USD P.M</t>
  </si>
  <si>
    <t>Total USD Per Annum</t>
  </si>
  <si>
    <t>Crises Intervention Coordinator</t>
  </si>
  <si>
    <t>Volunteer stipends</t>
  </si>
  <si>
    <t>% of time</t>
  </si>
  <si>
    <t>Total local currency P.M</t>
  </si>
  <si>
    <t>20 Volunteers</t>
  </si>
  <si>
    <t>Basic per volunteer</t>
  </si>
  <si>
    <t>Total Local Currency Per Annum</t>
  </si>
  <si>
    <t>Total Local Currency per Annum</t>
  </si>
  <si>
    <t>Utilities(Telephone, Internet)</t>
  </si>
  <si>
    <t>Office Stationery( Ink, copy paper, etc)</t>
  </si>
  <si>
    <t>3 x Laptops (Once off)</t>
  </si>
  <si>
    <t>Transport Cost(S&amp;T, Fuel)</t>
  </si>
  <si>
    <t>Activity</t>
  </si>
  <si>
    <t>Venue</t>
  </si>
  <si>
    <t>Transport</t>
  </si>
  <si>
    <t>T-Shirts</t>
  </si>
  <si>
    <t>Facalitators fees</t>
  </si>
  <si>
    <t>Accomodation</t>
  </si>
  <si>
    <t>Total in Local Currency</t>
  </si>
  <si>
    <t>Total in USD</t>
  </si>
  <si>
    <t>1. Youth Conference - 2 day conference for 150 young people</t>
  </si>
  <si>
    <t>2. Pledging Ceremonies x 2</t>
  </si>
  <si>
    <t>3. Volunteer Training - 3 day training for 20 volunteers</t>
  </si>
  <si>
    <t xml:space="preserve">4. Rise 2 Shine Prevention Intervention Clubs - 20 clubs, x 1 facilitator each; 7 months </t>
  </si>
  <si>
    <t>5. 2 x Roadshows - Community awareness activities</t>
  </si>
  <si>
    <t>Educational Support Facalitator</t>
  </si>
  <si>
    <t>Sports 4 Life Facalitator</t>
  </si>
  <si>
    <t>Sports 4 Life Activities</t>
  </si>
  <si>
    <t>7. Sports 4 Life Activities</t>
  </si>
  <si>
    <t>IEC Materials/  Manuals/Equipment</t>
  </si>
  <si>
    <t>JN &amp; PC Management members</t>
  </si>
  <si>
    <t>R. De Klerk - Management member</t>
  </si>
  <si>
    <t>A. Chaune - Management member</t>
  </si>
  <si>
    <t>N. Draghoender - Management member</t>
  </si>
  <si>
    <t>M. Matroos - Manangement member</t>
  </si>
  <si>
    <t>Other</t>
  </si>
  <si>
    <t>6. Educational Support activities - Afterschool support, Awards ceremony</t>
  </si>
  <si>
    <t>Food/snacks</t>
  </si>
  <si>
    <t>Health and Wellness Coordinator</t>
  </si>
  <si>
    <t>Inner Healing Coordinator</t>
  </si>
  <si>
    <t>Admin Officer</t>
  </si>
  <si>
    <t>M&amp;E Officer</t>
  </si>
  <si>
    <t>Donor 4</t>
  </si>
  <si>
    <t>Director</t>
  </si>
  <si>
    <t>Office furniture (new staff)</t>
  </si>
  <si>
    <t>3. Volunteer Refresher Workshop - 3 day workshop for 20 volunteers</t>
  </si>
  <si>
    <t xml:space="preserve">4. Rise 2 Shine Prevention Intervention Clubs - 20 clubs, x 1 facilitator each; 12 months </t>
  </si>
  <si>
    <t>6. Educational Support activities - Afterschool support, Awards ceremony, I Facilitator x 12 months</t>
  </si>
  <si>
    <t>7. Sports 4 Life Activities, 1 facilitator x 12 months</t>
  </si>
  <si>
    <r>
      <t xml:space="preserve">Other </t>
    </r>
    <r>
      <rPr>
        <i/>
        <sz val="12"/>
        <color theme="9" tint="-0.249977111117893"/>
        <rFont val="Open Sans"/>
      </rPr>
      <t xml:space="preserve"> In Kind: Human resources Contributions from parents/community memebers </t>
    </r>
  </si>
  <si>
    <t>SPAR Rehoboth</t>
  </si>
  <si>
    <t>Total Others</t>
  </si>
  <si>
    <t>Salaries Fulltime Staff</t>
  </si>
  <si>
    <t>Donor 5</t>
  </si>
  <si>
    <t>Anglo American Namibian Foundation</t>
  </si>
  <si>
    <t xml:space="preserve">8. Educational Camp </t>
  </si>
  <si>
    <t>Educational Camp</t>
  </si>
  <si>
    <t>9. Leadership Camp(Prefects)</t>
  </si>
  <si>
    <t>1 x Laptops (Once off)</t>
  </si>
  <si>
    <t>Office furniture, incluidng 1 x photocopy machine (Once Off)</t>
  </si>
  <si>
    <t xml:space="preserve"> Budget: Rise 2 Shine Project</t>
  </si>
  <si>
    <t>Leadership Camp</t>
  </si>
  <si>
    <t>Utilities(Telephone, Alarm, Internet,)</t>
  </si>
  <si>
    <t xml:space="preserve">Opening Balances </t>
  </si>
  <si>
    <t>S. Muyaukwa - Management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</si>
</sst>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8"/>
      <name val="Verdana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6"/>
      <color indexed="8"/>
      <name val="Open Sans"/>
    </font>
    <font>
      <b/>
      <sz val="16"/>
      <color theme="1"/>
      <name val="Open Sans"/>
    </font>
    <font>
      <sz val="11"/>
      <color theme="1"/>
      <name val="Open Sans"/>
    </font>
    <font>
      <b/>
      <sz val="12"/>
      <color indexed="8"/>
      <name val="Open Sans"/>
    </font>
    <font>
      <b/>
      <sz val="12"/>
      <color rgb="FFFF0000"/>
      <name val="Open Sans"/>
    </font>
    <font>
      <sz val="12"/>
      <color indexed="8"/>
      <name val="Open Sans"/>
    </font>
    <font>
      <b/>
      <sz val="14"/>
      <color indexed="8"/>
      <name val="Open Sans"/>
    </font>
    <font>
      <b/>
      <sz val="14"/>
      <color theme="1"/>
      <name val="Open Sans"/>
    </font>
    <font>
      <b/>
      <sz val="11"/>
      <color indexed="8"/>
      <name val="Open Sans"/>
    </font>
    <font>
      <b/>
      <sz val="11"/>
      <color theme="1"/>
      <name val="Open Sans"/>
    </font>
    <font>
      <b/>
      <sz val="14"/>
      <color theme="9" tint="-0.249977111117893"/>
      <name val="Open Sans"/>
    </font>
    <font>
      <i/>
      <sz val="12"/>
      <color theme="9" tint="-0.249977111117893"/>
      <name val="Open Sans"/>
    </font>
    <font>
      <b/>
      <sz val="12"/>
      <color theme="9" tint="-0.249977111117893"/>
      <name val="Open Sans"/>
    </font>
    <font>
      <b/>
      <sz val="11"/>
      <color theme="1"/>
      <name val="Open Sans"/>
      <family val="2"/>
    </font>
    <font>
      <sz val="12"/>
      <color indexed="8"/>
      <name val="Open Sans"/>
      <family val="2"/>
    </font>
    <font>
      <i/>
      <sz val="12"/>
      <color theme="9" tint="-0.249977111117893"/>
      <name val="Open Sans"/>
      <family val="2"/>
    </font>
    <font>
      <b/>
      <sz val="12"/>
      <color indexed="8"/>
      <name val="Open Sans"/>
      <family val="2"/>
    </font>
    <font>
      <b/>
      <sz val="12"/>
      <color theme="1"/>
      <name val="Open Sans"/>
      <family val="2"/>
    </font>
    <font>
      <i/>
      <sz val="12"/>
      <color indexed="8"/>
      <name val="Open Sans"/>
      <family val="2"/>
    </font>
    <font>
      <i/>
      <sz val="12"/>
      <name val="Open Sans"/>
      <family val="2"/>
    </font>
    <font>
      <b/>
      <sz val="12"/>
      <name val="Open Sans"/>
      <family val="2"/>
    </font>
    <font>
      <i/>
      <sz val="11"/>
      <color theme="1"/>
      <name val="Open Sans"/>
      <family val="2"/>
    </font>
    <font>
      <i/>
      <sz val="11"/>
      <name val="Open Sans"/>
      <family val="2"/>
    </font>
    <font>
      <b/>
      <sz val="11"/>
      <name val="Open Sans"/>
      <family val="2"/>
    </font>
    <font>
      <b/>
      <sz val="14"/>
      <name val="Open Sans"/>
      <family val="2"/>
    </font>
    <font>
      <b/>
      <sz val="11"/>
      <color theme="1"/>
      <name val="Calibri"/>
      <family val="2"/>
      <scheme val="minor"/>
    </font>
    <font>
      <sz val="12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6" fillId="0" borderId="1" xfId="0" applyFont="1" applyBorder="1"/>
    <xf numFmtId="0" fontId="7" fillId="0" borderId="1" xfId="0" applyFont="1" applyBorder="1" applyAlignment="1">
      <alignment horizontal="right" wrapText="1"/>
    </xf>
    <xf numFmtId="0" fontId="13" fillId="0" borderId="1" xfId="0" applyFont="1" applyBorder="1"/>
    <xf numFmtId="0" fontId="14" fillId="2" borderId="1" xfId="0" applyFont="1" applyFill="1" applyBorder="1"/>
    <xf numFmtId="2" fontId="6" fillId="0" borderId="1" xfId="0" applyNumberFormat="1" applyFont="1" applyBorder="1"/>
    <xf numFmtId="2" fontId="17" fillId="0" borderId="1" xfId="0" applyNumberFormat="1" applyFont="1" applyBorder="1"/>
    <xf numFmtId="0" fontId="19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6" fillId="4" borderId="1" xfId="0" applyFont="1" applyFill="1" applyBorder="1"/>
    <xf numFmtId="0" fontId="21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wrapText="1"/>
    </xf>
    <xf numFmtId="2" fontId="12" fillId="0" borderId="1" xfId="0" applyNumberFormat="1" applyFont="1" applyBorder="1"/>
    <xf numFmtId="0" fontId="6" fillId="5" borderId="1" xfId="0" applyFont="1" applyFill="1" applyBorder="1"/>
    <xf numFmtId="2" fontId="6" fillId="5" borderId="1" xfId="0" applyNumberFormat="1" applyFont="1" applyFill="1" applyBorder="1"/>
    <xf numFmtId="2" fontId="17" fillId="5" borderId="1" xfId="0" applyNumberFormat="1" applyFont="1" applyFill="1" applyBorder="1"/>
    <xf numFmtId="2" fontId="17" fillId="4" borderId="1" xfId="0" applyNumberFormat="1" applyFont="1" applyFill="1" applyBorder="1"/>
    <xf numFmtId="2" fontId="6" fillId="4" borderId="1" xfId="0" applyNumberFormat="1" applyFont="1" applyFill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/>
    <xf numFmtId="0" fontId="7" fillId="0" borderId="0" xfId="0" applyFont="1" applyBorder="1" applyAlignment="1">
      <alignment horizontal="right" wrapText="1"/>
    </xf>
    <xf numFmtId="2" fontId="6" fillId="0" borderId="0" xfId="0" applyNumberFormat="1" applyFont="1" applyBorder="1"/>
    <xf numFmtId="0" fontId="20" fillId="0" borderId="0" xfId="0" applyFont="1" applyBorder="1" applyAlignment="1">
      <alignment horizontal="right" wrapText="1"/>
    </xf>
    <xf numFmtId="2" fontId="17" fillId="0" borderId="4" xfId="0" applyNumberFormat="1" applyFont="1" applyBorder="1"/>
    <xf numFmtId="2" fontId="17" fillId="0" borderId="5" xfId="0" applyNumberFormat="1" applyFont="1" applyBorder="1"/>
    <xf numFmtId="0" fontId="28" fillId="2" borderId="1" xfId="0" applyFont="1" applyFill="1" applyBorder="1" applyAlignment="1">
      <alignment horizontal="center"/>
    </xf>
    <xf numFmtId="2" fontId="17" fillId="0" borderId="6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9" fillId="0" borderId="1" xfId="0" applyFont="1" applyBorder="1"/>
    <xf numFmtId="0" fontId="29" fillId="0" borderId="1" xfId="0" applyFont="1" applyBorder="1" applyAlignment="1">
      <alignment wrapText="1"/>
    </xf>
    <xf numFmtId="0" fontId="29" fillId="0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9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left"/>
    </xf>
    <xf numFmtId="0" fontId="30" fillId="0" borderId="1" xfId="0" applyFont="1" applyBorder="1" applyAlignment="1">
      <alignment wrapText="1"/>
    </xf>
    <xf numFmtId="2" fontId="14" fillId="2" borderId="1" xfId="0" applyNumberFormat="1" applyFont="1" applyFill="1" applyBorder="1"/>
    <xf numFmtId="2" fontId="11" fillId="2" borderId="1" xfId="0" applyNumberFormat="1" applyFont="1" applyFill="1" applyBorder="1" applyAlignment="1">
      <alignment horizontal="right"/>
    </xf>
    <xf numFmtId="0" fontId="22" fillId="5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/>
    </xf>
    <xf numFmtId="0" fontId="9" fillId="0" borderId="3" xfId="0" applyFont="1" applyFill="1" applyBorder="1" applyAlignment="1"/>
    <xf numFmtId="0" fontId="18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8"/>
  <sheetViews>
    <sheetView topLeftCell="A49" zoomScaleNormal="100" workbookViewId="0">
      <selection activeCell="E48" sqref="E48"/>
    </sheetView>
  </sheetViews>
  <sheetFormatPr defaultColWidth="8.42578125" defaultRowHeight="15" x14ac:dyDescent="0.25"/>
  <cols>
    <col min="1" max="1" width="43" customWidth="1"/>
    <col min="2" max="2" width="16" customWidth="1"/>
    <col min="3" max="3" width="17.42578125" customWidth="1"/>
    <col min="4" max="4" width="15.7109375" customWidth="1"/>
    <col min="5" max="5" width="18.42578125" customWidth="1"/>
  </cols>
  <sheetData>
    <row r="1" spans="1:5" ht="22.5" x14ac:dyDescent="0.4">
      <c r="A1" s="55" t="s">
        <v>117</v>
      </c>
      <c r="B1" s="56"/>
      <c r="C1" s="57"/>
      <c r="D1" s="57"/>
      <c r="E1" s="57"/>
    </row>
    <row r="2" spans="1:5" ht="22.5" x14ac:dyDescent="0.4">
      <c r="A2" s="2"/>
      <c r="B2" s="51" t="s">
        <v>18</v>
      </c>
      <c r="C2" s="52"/>
      <c r="D2" s="53" t="s">
        <v>22</v>
      </c>
      <c r="E2" s="54"/>
    </row>
    <row r="3" spans="1:5" ht="42" x14ac:dyDescent="0.4">
      <c r="A3" s="3" t="s">
        <v>1</v>
      </c>
      <c r="B3" s="4" t="s">
        <v>11</v>
      </c>
      <c r="C3" s="50" t="s">
        <v>13</v>
      </c>
      <c r="D3" s="33" t="s">
        <v>33</v>
      </c>
      <c r="E3" s="50" t="s">
        <v>13</v>
      </c>
    </row>
    <row r="4" spans="1:5" ht="21" x14ac:dyDescent="0.4">
      <c r="A4" s="3" t="s">
        <v>120</v>
      </c>
      <c r="B4" s="48">
        <f>SUM(C4*0.06)</f>
        <v>36</v>
      </c>
      <c r="C4" s="47">
        <v>600</v>
      </c>
      <c r="D4" s="33">
        <f>SUM(E4*0.06)</f>
        <v>661.41</v>
      </c>
      <c r="E4" s="47">
        <f>C77</f>
        <v>11023.5</v>
      </c>
    </row>
    <row r="5" spans="1:5" ht="18" x14ac:dyDescent="0.35">
      <c r="A5" s="13" t="s">
        <v>5</v>
      </c>
      <c r="B5" s="6"/>
      <c r="C5" s="6"/>
      <c r="D5" s="6"/>
      <c r="E5" s="6"/>
    </row>
    <row r="6" spans="1:5" ht="18" x14ac:dyDescent="0.35">
      <c r="A6" s="16" t="s">
        <v>87</v>
      </c>
      <c r="B6" s="10">
        <f>SUM(C6*0.06)</f>
        <v>96</v>
      </c>
      <c r="C6" s="10">
        <v>1600</v>
      </c>
      <c r="D6" s="10">
        <f>SUM(E6*0.06)</f>
        <v>144</v>
      </c>
      <c r="E6" s="10">
        <v>2400</v>
      </c>
    </row>
    <row r="7" spans="1:5" ht="18" x14ac:dyDescent="0.35">
      <c r="A7" s="16" t="s">
        <v>88</v>
      </c>
      <c r="B7" s="10">
        <f t="shared" ref="B7:B12" si="0">SUM(C7*0.06)</f>
        <v>72</v>
      </c>
      <c r="C7" s="10">
        <v>1200</v>
      </c>
      <c r="D7" s="10">
        <f t="shared" ref="D7:D12" si="1">SUM(E7*0.06)</f>
        <v>108</v>
      </c>
      <c r="E7" s="10">
        <v>1800</v>
      </c>
    </row>
    <row r="8" spans="1:5" ht="18" x14ac:dyDescent="0.35">
      <c r="A8" s="16" t="s">
        <v>89</v>
      </c>
      <c r="B8" s="10">
        <f t="shared" si="0"/>
        <v>72</v>
      </c>
      <c r="C8" s="10">
        <v>1200</v>
      </c>
      <c r="D8" s="10">
        <f t="shared" si="1"/>
        <v>108</v>
      </c>
      <c r="E8" s="10">
        <v>1800</v>
      </c>
    </row>
    <row r="9" spans="1:5" ht="36" x14ac:dyDescent="0.35">
      <c r="A9" s="16" t="s">
        <v>90</v>
      </c>
      <c r="B9" s="10">
        <f t="shared" si="0"/>
        <v>72</v>
      </c>
      <c r="C9" s="10">
        <v>1200</v>
      </c>
      <c r="D9" s="10">
        <f t="shared" si="1"/>
        <v>108</v>
      </c>
      <c r="E9" s="10">
        <v>1800</v>
      </c>
    </row>
    <row r="10" spans="1:5" ht="18" x14ac:dyDescent="0.35">
      <c r="A10" s="16" t="s">
        <v>91</v>
      </c>
      <c r="B10" s="10">
        <f t="shared" si="0"/>
        <v>72</v>
      </c>
      <c r="C10" s="10">
        <v>1200</v>
      </c>
      <c r="D10" s="10">
        <f t="shared" si="1"/>
        <v>108</v>
      </c>
      <c r="E10" s="10">
        <v>1800</v>
      </c>
    </row>
    <row r="11" spans="1:5" ht="18" x14ac:dyDescent="0.35">
      <c r="A11" s="49" t="s">
        <v>121</v>
      </c>
      <c r="B11" s="10">
        <f t="shared" si="0"/>
        <v>36</v>
      </c>
      <c r="C11" s="10">
        <v>600</v>
      </c>
      <c r="D11" s="10">
        <f t="shared" si="1"/>
        <v>60</v>
      </c>
      <c r="E11" s="10">
        <v>1000</v>
      </c>
    </row>
    <row r="12" spans="1:5" ht="18" x14ac:dyDescent="0.35">
      <c r="A12" s="16" t="s">
        <v>92</v>
      </c>
      <c r="B12" s="10">
        <f t="shared" si="0"/>
        <v>180</v>
      </c>
      <c r="C12" s="10">
        <v>3000</v>
      </c>
      <c r="D12" s="10">
        <f t="shared" si="1"/>
        <v>360</v>
      </c>
      <c r="E12" s="10">
        <v>6000</v>
      </c>
    </row>
    <row r="13" spans="1:5" ht="25.5" customHeight="1" x14ac:dyDescent="0.35">
      <c r="A13" s="13" t="s">
        <v>17</v>
      </c>
      <c r="B13" s="11">
        <f>SUM(B6:B12)</f>
        <v>600</v>
      </c>
      <c r="C13" s="11">
        <f>SUM(C6:C12)</f>
        <v>10000</v>
      </c>
      <c r="D13" s="11">
        <f>SUM(D6:D12)</f>
        <v>996</v>
      </c>
      <c r="E13" s="11">
        <f>SUM(E6:E12)</f>
        <v>16600</v>
      </c>
    </row>
    <row r="14" spans="1:5" ht="18" x14ac:dyDescent="0.35">
      <c r="A14" s="13" t="s">
        <v>10</v>
      </c>
      <c r="B14" s="14"/>
      <c r="C14" s="14"/>
      <c r="D14" s="14"/>
      <c r="E14" s="14"/>
    </row>
    <row r="15" spans="1:5" ht="36" x14ac:dyDescent="0.35">
      <c r="A15" s="46" t="s">
        <v>111</v>
      </c>
      <c r="B15" s="10">
        <f>SUM(C15*0.06)</f>
        <v>0</v>
      </c>
      <c r="C15" s="10"/>
      <c r="D15" s="10">
        <f>SUM(E15*0.06)</f>
        <v>21000</v>
      </c>
      <c r="E15" s="6">
        <v>350000</v>
      </c>
    </row>
    <row r="16" spans="1:5" ht="18" x14ac:dyDescent="0.35">
      <c r="A16" s="12"/>
      <c r="B16" s="10">
        <f t="shared" ref="B16:B21" si="2">SUM(C16*0.06)</f>
        <v>0</v>
      </c>
      <c r="C16" s="10"/>
      <c r="D16" s="10">
        <f t="shared" ref="D16:D21" si="3">SUM(E16*0.06)</f>
        <v>0</v>
      </c>
      <c r="E16" s="6"/>
    </row>
    <row r="17" spans="1:5" ht="18" x14ac:dyDescent="0.35">
      <c r="A17" s="12"/>
      <c r="B17" s="10">
        <f t="shared" si="2"/>
        <v>0</v>
      </c>
      <c r="C17" s="10"/>
      <c r="D17" s="10">
        <f t="shared" si="3"/>
        <v>0</v>
      </c>
      <c r="E17" s="6"/>
    </row>
    <row r="18" spans="1:5" ht="18" x14ac:dyDescent="0.35">
      <c r="A18" s="12"/>
      <c r="B18" s="10">
        <f t="shared" si="2"/>
        <v>0</v>
      </c>
      <c r="C18" s="10"/>
      <c r="D18" s="10">
        <f t="shared" si="3"/>
        <v>0</v>
      </c>
      <c r="E18" s="6"/>
    </row>
    <row r="19" spans="1:5" ht="18" x14ac:dyDescent="0.35">
      <c r="A19" s="12"/>
      <c r="B19" s="10">
        <f t="shared" si="2"/>
        <v>0</v>
      </c>
      <c r="C19" s="10"/>
      <c r="D19" s="10">
        <f t="shared" si="3"/>
        <v>0</v>
      </c>
      <c r="E19" s="6"/>
    </row>
    <row r="20" spans="1:5" ht="18" x14ac:dyDescent="0.35">
      <c r="A20" s="12"/>
      <c r="B20" s="10">
        <f t="shared" si="2"/>
        <v>0</v>
      </c>
      <c r="C20" s="10"/>
      <c r="D20" s="10">
        <f t="shared" si="3"/>
        <v>0</v>
      </c>
      <c r="E20" s="6"/>
    </row>
    <row r="21" spans="1:5" ht="18" x14ac:dyDescent="0.35">
      <c r="A21" s="12"/>
      <c r="B21" s="10">
        <f t="shared" si="2"/>
        <v>0</v>
      </c>
      <c r="C21" s="10"/>
      <c r="D21" s="10">
        <f t="shared" si="3"/>
        <v>0</v>
      </c>
      <c r="E21" s="6"/>
    </row>
    <row r="22" spans="1:5" ht="29.25" customHeight="1" x14ac:dyDescent="0.35">
      <c r="A22" s="15" t="s">
        <v>19</v>
      </c>
      <c r="B22" s="11">
        <f>SUM(B15:B17)</f>
        <v>0</v>
      </c>
      <c r="C22" s="11">
        <f>SUM(C15:C21)</f>
        <v>0</v>
      </c>
      <c r="D22" s="11">
        <f>SUM(D15:D21)</f>
        <v>21000</v>
      </c>
      <c r="E22" s="11">
        <f>SUM(E15:E21)</f>
        <v>350000</v>
      </c>
    </row>
    <row r="23" spans="1:5" ht="18" x14ac:dyDescent="0.35">
      <c r="A23" s="13" t="s">
        <v>6</v>
      </c>
      <c r="B23" s="14"/>
      <c r="C23" s="14"/>
      <c r="D23" s="14"/>
      <c r="E23" s="14"/>
    </row>
    <row r="24" spans="1:5" ht="18" x14ac:dyDescent="0.35">
      <c r="A24" s="17" t="s">
        <v>40</v>
      </c>
      <c r="B24" s="10">
        <f>SUM(C24*0.06)</f>
        <v>27000</v>
      </c>
      <c r="C24" s="10">
        <v>450000</v>
      </c>
      <c r="D24" s="10">
        <f>SUM(E24*0.06)</f>
        <v>39000</v>
      </c>
      <c r="E24" s="10">
        <v>650000</v>
      </c>
    </row>
    <row r="25" spans="1:5" ht="18" x14ac:dyDescent="0.35">
      <c r="A25" s="17" t="s">
        <v>41</v>
      </c>
      <c r="B25" s="10">
        <f t="shared" ref="B25:B29" si="4">SUM(C25*0.06)</f>
        <v>27000</v>
      </c>
      <c r="C25" s="10">
        <v>450000</v>
      </c>
      <c r="D25" s="10">
        <f t="shared" ref="D25:D29" si="5">SUM(E25*0.06)</f>
        <v>30000</v>
      </c>
      <c r="E25" s="10">
        <v>500000</v>
      </c>
    </row>
    <row r="26" spans="1:5" ht="18" x14ac:dyDescent="0.35">
      <c r="A26" s="17" t="s">
        <v>42</v>
      </c>
      <c r="B26" s="10">
        <f t="shared" si="4"/>
        <v>27000</v>
      </c>
      <c r="C26" s="10">
        <v>450000</v>
      </c>
      <c r="D26" s="10">
        <f t="shared" si="5"/>
        <v>30000</v>
      </c>
      <c r="E26" s="10">
        <v>500000</v>
      </c>
    </row>
    <row r="27" spans="1:5" ht="18" x14ac:dyDescent="0.35">
      <c r="A27" s="17" t="s">
        <v>99</v>
      </c>
      <c r="B27" s="10">
        <f t="shared" si="4"/>
        <v>0</v>
      </c>
      <c r="C27" s="10"/>
      <c r="D27" s="10">
        <f t="shared" si="5"/>
        <v>24000</v>
      </c>
      <c r="E27" s="10">
        <v>400000</v>
      </c>
    </row>
    <row r="28" spans="1:5" ht="18" x14ac:dyDescent="0.35">
      <c r="A28" s="17" t="s">
        <v>110</v>
      </c>
      <c r="B28" s="10">
        <f t="shared" si="4"/>
        <v>0</v>
      </c>
      <c r="C28" s="10"/>
      <c r="D28" s="10">
        <f t="shared" si="5"/>
        <v>24000</v>
      </c>
      <c r="E28" s="10">
        <v>400000</v>
      </c>
    </row>
    <row r="29" spans="1:5" ht="18" x14ac:dyDescent="0.35">
      <c r="A29" s="17"/>
      <c r="B29" s="10">
        <f t="shared" si="4"/>
        <v>0</v>
      </c>
      <c r="C29" s="6"/>
      <c r="D29" s="10">
        <f t="shared" si="5"/>
        <v>0</v>
      </c>
      <c r="E29" s="6"/>
    </row>
    <row r="30" spans="1:5" ht="18" x14ac:dyDescent="0.35">
      <c r="A30" s="18" t="s">
        <v>20</v>
      </c>
      <c r="B30" s="11">
        <f>SUM(B24:B29)</f>
        <v>81000</v>
      </c>
      <c r="C30" s="11">
        <f t="shared" ref="C30:E30" si="6">SUM(C24:C29)</f>
        <v>1350000</v>
      </c>
      <c r="D30" s="11">
        <f>SUM(D24:D29)</f>
        <v>147000</v>
      </c>
      <c r="E30" s="11">
        <f t="shared" si="6"/>
        <v>2450000</v>
      </c>
    </row>
    <row r="31" spans="1:5" ht="18" x14ac:dyDescent="0.35">
      <c r="A31" s="13" t="s">
        <v>7</v>
      </c>
      <c r="B31" s="14"/>
      <c r="C31" s="14"/>
      <c r="D31" s="14"/>
      <c r="E31" s="14"/>
    </row>
    <row r="32" spans="1:5" ht="18" x14ac:dyDescent="0.35">
      <c r="A32" s="13"/>
      <c r="B32" s="21">
        <f>SUM(C32*0.06)</f>
        <v>0</v>
      </c>
      <c r="C32" s="20"/>
      <c r="D32" s="21">
        <f>SUM(E32*0.06)</f>
        <v>0</v>
      </c>
      <c r="E32" s="20"/>
    </row>
    <row r="33" spans="1:5" ht="18" x14ac:dyDescent="0.35">
      <c r="A33" s="13"/>
      <c r="B33" s="21">
        <f>SUM(C33*0.06)</f>
        <v>0</v>
      </c>
      <c r="C33" s="20"/>
      <c r="D33" s="21">
        <f>SUM(E33*0.06)</f>
        <v>0</v>
      </c>
      <c r="E33" s="20"/>
    </row>
    <row r="34" spans="1:5" ht="24.75" customHeight="1" x14ac:dyDescent="0.35">
      <c r="A34" s="13" t="s">
        <v>21</v>
      </c>
      <c r="B34" s="22">
        <f>SUM(B32:B33)</f>
        <v>0</v>
      </c>
      <c r="C34" s="22">
        <f t="shared" ref="C34:E34" si="7">SUM(C32:C33)</f>
        <v>0</v>
      </c>
      <c r="D34" s="22">
        <f>SUM(D32:D33)</f>
        <v>0</v>
      </c>
      <c r="E34" s="22">
        <f t="shared" si="7"/>
        <v>0</v>
      </c>
    </row>
    <row r="35" spans="1:5" ht="24.75" customHeight="1" x14ac:dyDescent="0.35">
      <c r="A35" s="13"/>
      <c r="B35" s="23"/>
      <c r="C35" s="23"/>
      <c r="D35" s="23"/>
      <c r="E35" s="23"/>
    </row>
    <row r="36" spans="1:5" ht="18" x14ac:dyDescent="0.35">
      <c r="A36" s="13" t="s">
        <v>8</v>
      </c>
      <c r="B36" s="10">
        <f>SUM(C36*0.6)</f>
        <v>0</v>
      </c>
      <c r="C36" s="6"/>
      <c r="D36" s="10">
        <f>SUM(E36*0.06)</f>
        <v>0</v>
      </c>
      <c r="E36" s="10">
        <v>0</v>
      </c>
    </row>
    <row r="37" spans="1:5" ht="18" x14ac:dyDescent="0.35">
      <c r="A37" s="5"/>
      <c r="B37" s="14"/>
      <c r="C37" s="14"/>
      <c r="D37" s="14"/>
      <c r="E37" s="14"/>
    </row>
    <row r="38" spans="1:5" ht="18" x14ac:dyDescent="0.35">
      <c r="A38" s="13" t="s">
        <v>14</v>
      </c>
      <c r="B38" s="10">
        <f>SUM(C38*0.06)</f>
        <v>150</v>
      </c>
      <c r="C38" s="10">
        <v>2500</v>
      </c>
      <c r="D38" s="10">
        <f>SUM(E38*0.06)</f>
        <v>210</v>
      </c>
      <c r="E38" s="6">
        <v>3500</v>
      </c>
    </row>
    <row r="39" spans="1:5" ht="18" x14ac:dyDescent="0.35">
      <c r="A39" s="13"/>
      <c r="B39" s="24"/>
      <c r="C39" s="14"/>
      <c r="D39" s="14"/>
      <c r="E39" s="14"/>
    </row>
    <row r="40" spans="1:5" ht="54" x14ac:dyDescent="0.35">
      <c r="A40" s="5" t="s">
        <v>106</v>
      </c>
      <c r="B40" s="10">
        <f>SUM(C40*0.06)</f>
        <v>900</v>
      </c>
      <c r="C40" s="10">
        <v>15000</v>
      </c>
      <c r="D40" s="10">
        <f>SUM(E40*0.06)</f>
        <v>1500</v>
      </c>
      <c r="E40" s="10">
        <v>25000</v>
      </c>
    </row>
    <row r="41" spans="1:5" ht="18" x14ac:dyDescent="0.35">
      <c r="A41" s="5" t="s">
        <v>44</v>
      </c>
      <c r="B41" s="10">
        <f t="shared" ref="B41:B43" si="8">SUM(C41*0.06)</f>
        <v>1800</v>
      </c>
      <c r="C41" s="10">
        <v>30000</v>
      </c>
      <c r="D41" s="10">
        <f t="shared" ref="D41:D43" si="9">SUM(E41*0.06)</f>
        <v>2700</v>
      </c>
      <c r="E41" s="10">
        <v>45000</v>
      </c>
    </row>
    <row r="42" spans="1:5" ht="18" x14ac:dyDescent="0.35">
      <c r="A42" s="5" t="s">
        <v>107</v>
      </c>
      <c r="B42" s="10">
        <f t="shared" si="8"/>
        <v>300</v>
      </c>
      <c r="C42" s="10">
        <v>5000</v>
      </c>
      <c r="D42" s="10">
        <f t="shared" si="9"/>
        <v>450</v>
      </c>
      <c r="E42" s="10">
        <v>7500</v>
      </c>
    </row>
    <row r="43" spans="1:5" ht="18" x14ac:dyDescent="0.35">
      <c r="A43" s="5" t="s">
        <v>43</v>
      </c>
      <c r="B43" s="10">
        <f t="shared" si="8"/>
        <v>300</v>
      </c>
      <c r="C43" s="10">
        <v>5000</v>
      </c>
      <c r="D43" s="10">
        <f t="shared" si="9"/>
        <v>300</v>
      </c>
      <c r="E43" s="10">
        <v>5000</v>
      </c>
    </row>
    <row r="44" spans="1:5" ht="18" x14ac:dyDescent="0.35">
      <c r="A44" s="13" t="s">
        <v>108</v>
      </c>
      <c r="B44" s="11">
        <f>SUM(B40:B43)</f>
        <v>3300</v>
      </c>
      <c r="C44" s="11">
        <f t="shared" ref="C44:E44" si="10">SUM(C40:C43)</f>
        <v>55000</v>
      </c>
      <c r="D44" s="11">
        <f t="shared" si="10"/>
        <v>4950</v>
      </c>
      <c r="E44" s="11">
        <f t="shared" si="10"/>
        <v>82500</v>
      </c>
    </row>
    <row r="45" spans="1:5" ht="18" x14ac:dyDescent="0.35">
      <c r="A45" s="5"/>
      <c r="B45" s="24"/>
      <c r="C45" s="14"/>
      <c r="D45" s="14"/>
      <c r="E45" s="14"/>
    </row>
    <row r="46" spans="1:5" ht="18" x14ac:dyDescent="0.35">
      <c r="A46" s="7" t="s">
        <v>2</v>
      </c>
      <c r="B46" s="19">
        <f>SUM(B13+B22+B30+B34+B36+B38+B44)</f>
        <v>85050</v>
      </c>
      <c r="C46" s="19">
        <f t="shared" ref="C46:E46" si="11">SUM(C13+C22+C30+C34+C36+C38+C44)</f>
        <v>1417500</v>
      </c>
      <c r="D46" s="19">
        <f t="shared" si="11"/>
        <v>174156</v>
      </c>
      <c r="E46" s="19">
        <f t="shared" si="11"/>
        <v>2902600</v>
      </c>
    </row>
    <row r="47" spans="1:5" x14ac:dyDescent="0.25">
      <c r="A47" s="1"/>
      <c r="B47" s="1"/>
      <c r="C47" s="1"/>
      <c r="D47" s="1"/>
      <c r="E47" s="1"/>
    </row>
    <row r="48" spans="1:5" ht="42" x14ac:dyDescent="0.4">
      <c r="A48" s="3" t="s">
        <v>3</v>
      </c>
      <c r="B48" s="4" t="s">
        <v>12</v>
      </c>
      <c r="C48" s="50" t="str">
        <f>C3</f>
        <v>Local Currency</v>
      </c>
      <c r="D48" s="9"/>
      <c r="E48" s="50" t="str">
        <f>E3</f>
        <v>Local Currency</v>
      </c>
    </row>
    <row r="49" spans="1:5" ht="16.5" x14ac:dyDescent="0.3">
      <c r="A49" s="8" t="s">
        <v>15</v>
      </c>
      <c r="B49" s="6"/>
      <c r="C49" s="6"/>
      <c r="D49" s="6"/>
      <c r="E49" s="6"/>
    </row>
    <row r="50" spans="1:5" ht="16.5" x14ac:dyDescent="0.3">
      <c r="A50" s="25" t="s">
        <v>23</v>
      </c>
      <c r="B50" s="10">
        <f>SUM(C50*0.06)</f>
        <v>4062</v>
      </c>
      <c r="C50" s="10">
        <f>'Program Activites Y 2022'!I2</f>
        <v>67700</v>
      </c>
      <c r="D50" s="10">
        <f>SUM(E50*0.06)</f>
        <v>4050</v>
      </c>
      <c r="E50" s="10">
        <f>'Program Activites Y 2023'!I2</f>
        <v>67500</v>
      </c>
    </row>
    <row r="51" spans="1:5" ht="16.5" x14ac:dyDescent="0.3">
      <c r="A51" s="25" t="s">
        <v>36</v>
      </c>
      <c r="B51" s="10">
        <f t="shared" ref="B51:B58" si="12">SUM(C51*0.06)</f>
        <v>3840</v>
      </c>
      <c r="C51" s="10">
        <f>'Program Activites Y 2022'!I3</f>
        <v>64000</v>
      </c>
      <c r="D51" s="10">
        <f t="shared" ref="D51:D58" si="13">SUM(E51*0.06)</f>
        <v>3780</v>
      </c>
      <c r="E51" s="10">
        <f>'Program Activites Y 2023'!I3</f>
        <v>63000</v>
      </c>
    </row>
    <row r="52" spans="1:5" ht="16.5" x14ac:dyDescent="0.3">
      <c r="A52" s="26" t="s">
        <v>24</v>
      </c>
      <c r="B52" s="10">
        <f t="shared" si="12"/>
        <v>1722</v>
      </c>
      <c r="C52" s="10">
        <f>'Program Activites Y 2022'!I4</f>
        <v>28700</v>
      </c>
      <c r="D52" s="10">
        <f t="shared" si="13"/>
        <v>1722</v>
      </c>
      <c r="E52" s="10">
        <f>'Program Activites Y 2023'!I4</f>
        <v>28700</v>
      </c>
    </row>
    <row r="53" spans="1:5" ht="16.5" x14ac:dyDescent="0.3">
      <c r="A53" s="26" t="s">
        <v>25</v>
      </c>
      <c r="B53" s="10">
        <f t="shared" si="12"/>
        <v>27000</v>
      </c>
      <c r="C53" s="10">
        <f>'Program Activites Y 2022'!I5</f>
        <v>450000</v>
      </c>
      <c r="D53" s="10">
        <f t="shared" si="13"/>
        <v>48480</v>
      </c>
      <c r="E53" s="10">
        <f>'Program Activites Y 2023'!I5</f>
        <v>808000</v>
      </c>
    </row>
    <row r="54" spans="1:5" ht="16.5" x14ac:dyDescent="0.3">
      <c r="A54" s="26" t="s">
        <v>37</v>
      </c>
      <c r="B54" s="10">
        <f t="shared" si="12"/>
        <v>2100</v>
      </c>
      <c r="C54" s="10">
        <f>'Program Activites Y 2022'!I6</f>
        <v>35000</v>
      </c>
      <c r="D54" s="10">
        <f t="shared" si="13"/>
        <v>2100</v>
      </c>
      <c r="E54" s="10">
        <f>'Program Activites Y 2023'!I6</f>
        <v>35000</v>
      </c>
    </row>
    <row r="55" spans="1:5" ht="16.5" x14ac:dyDescent="0.3">
      <c r="A55" s="26" t="s">
        <v>84</v>
      </c>
      <c r="B55" s="10">
        <f t="shared" si="12"/>
        <v>2865.9</v>
      </c>
      <c r="C55" s="10">
        <f>'Program Activites Y 2022'!I8</f>
        <v>47765</v>
      </c>
      <c r="D55" s="10">
        <f t="shared" si="13"/>
        <v>5050.3439999999991</v>
      </c>
      <c r="E55" s="10">
        <f>'Program Activites Y 2023'!I8</f>
        <v>84172.4</v>
      </c>
    </row>
    <row r="56" spans="1:5" ht="16.5" x14ac:dyDescent="0.3">
      <c r="A56" s="26" t="s">
        <v>39</v>
      </c>
      <c r="B56" s="10">
        <f t="shared" si="12"/>
        <v>9084.75</v>
      </c>
      <c r="C56" s="10">
        <f>'Program Activites Y 2022'!I7</f>
        <v>151412.5</v>
      </c>
      <c r="D56" s="10">
        <f t="shared" si="13"/>
        <v>13955.267999999998</v>
      </c>
      <c r="E56" s="10">
        <f>'Program Activites Y 2023'!I7</f>
        <v>232587.8</v>
      </c>
    </row>
    <row r="57" spans="1:5" ht="16.5" x14ac:dyDescent="0.3">
      <c r="A57" s="26" t="s">
        <v>113</v>
      </c>
      <c r="B57" s="10">
        <f t="shared" si="12"/>
        <v>0</v>
      </c>
      <c r="C57" s="10">
        <v>0</v>
      </c>
      <c r="D57" s="10">
        <f t="shared" si="13"/>
        <v>3630</v>
      </c>
      <c r="E57" s="10">
        <f>'Program Activites Y 2023'!I9</f>
        <v>60500</v>
      </c>
    </row>
    <row r="58" spans="1:5" ht="16.5" x14ac:dyDescent="0.3">
      <c r="A58" s="26" t="s">
        <v>118</v>
      </c>
      <c r="B58" s="10">
        <f t="shared" si="12"/>
        <v>0</v>
      </c>
      <c r="C58" s="10">
        <v>0</v>
      </c>
      <c r="D58" s="10">
        <f t="shared" si="13"/>
        <v>4830</v>
      </c>
      <c r="E58" s="10">
        <f>'Program Activites Y 2023'!I10</f>
        <v>80500</v>
      </c>
    </row>
    <row r="59" spans="1:5" ht="16.5" x14ac:dyDescent="0.3">
      <c r="A59" s="27" t="s">
        <v>26</v>
      </c>
      <c r="B59" s="11">
        <f>SUM(B50:B58)</f>
        <v>50674.65</v>
      </c>
      <c r="C59" s="11">
        <f t="shared" ref="C59:E59" si="14">SUM(C50:C58)</f>
        <v>844577.5</v>
      </c>
      <c r="D59" s="11">
        <f t="shared" si="14"/>
        <v>87597.611999999994</v>
      </c>
      <c r="E59" s="11">
        <f t="shared" si="14"/>
        <v>1459960.2</v>
      </c>
    </row>
    <row r="60" spans="1:5" ht="16.5" x14ac:dyDescent="0.3">
      <c r="A60" s="8" t="s">
        <v>9</v>
      </c>
      <c r="B60" s="24"/>
      <c r="C60" s="24"/>
      <c r="D60" s="24"/>
      <c r="E60" s="14"/>
    </row>
    <row r="61" spans="1:5" ht="16.5" x14ac:dyDescent="0.3">
      <c r="A61" s="25" t="s">
        <v>109</v>
      </c>
      <c r="B61" s="10">
        <f>SUM(C61*0.06)</f>
        <v>24824.94</v>
      </c>
      <c r="C61" s="10">
        <f>'Budget Explanation Y 2022'!I10</f>
        <v>413749</v>
      </c>
      <c r="D61" s="10">
        <f>SUM(E61*0.06)</f>
        <v>71761.497599999988</v>
      </c>
      <c r="E61" s="10">
        <f>'Budget explanation Y 2023'!I10</f>
        <v>1196024.96</v>
      </c>
    </row>
    <row r="62" spans="1:5" ht="16.5" x14ac:dyDescent="0.3">
      <c r="A62" s="25" t="s">
        <v>28</v>
      </c>
      <c r="B62" s="10">
        <f t="shared" ref="B62:B68" si="15">SUM(C62*0.06)</f>
        <v>2520</v>
      </c>
      <c r="C62" s="10">
        <f>'Budget Explanation Y 2022'!I17</f>
        <v>42000</v>
      </c>
      <c r="D62" s="10">
        <f t="shared" ref="D62:D68" si="16">SUM(E62*0.06)</f>
        <v>5040</v>
      </c>
      <c r="E62" s="10">
        <f>'Budget explanation Y 2023'!I17</f>
        <v>84000</v>
      </c>
    </row>
    <row r="63" spans="1:5" ht="16.5" x14ac:dyDescent="0.3">
      <c r="A63" s="25" t="s">
        <v>119</v>
      </c>
      <c r="B63" s="10">
        <f t="shared" si="15"/>
        <v>399</v>
      </c>
      <c r="C63" s="10">
        <f>'Budget Explanation Y 2022'!I18</f>
        <v>6650</v>
      </c>
      <c r="D63" s="10">
        <f t="shared" si="16"/>
        <v>684</v>
      </c>
      <c r="E63" s="10">
        <f>'Budget explanation Y 2023'!I18</f>
        <v>11400</v>
      </c>
    </row>
    <row r="64" spans="1:5" ht="16.5" x14ac:dyDescent="0.3">
      <c r="A64" s="25" t="s">
        <v>29</v>
      </c>
      <c r="B64" s="10">
        <f t="shared" si="15"/>
        <v>450</v>
      </c>
      <c r="C64" s="10">
        <f>'Budget Explanation Y 2022'!I19</f>
        <v>7500</v>
      </c>
      <c r="D64" s="10">
        <f t="shared" si="16"/>
        <v>891</v>
      </c>
      <c r="E64" s="10">
        <f>'Budget explanation Y 2023'!I19</f>
        <v>14850</v>
      </c>
    </row>
    <row r="65" spans="1:5" ht="16.5" x14ac:dyDescent="0.3">
      <c r="A65" s="25" t="s">
        <v>35</v>
      </c>
      <c r="B65" s="10">
        <f t="shared" si="15"/>
        <v>1200</v>
      </c>
      <c r="C65" s="10">
        <f>'Budget Explanation Y 2022'!I20</f>
        <v>20000</v>
      </c>
      <c r="D65" s="10">
        <f t="shared" si="16"/>
        <v>360</v>
      </c>
      <c r="E65" s="10">
        <f>'Budget explanation Y 2023'!I20</f>
        <v>6000</v>
      </c>
    </row>
    <row r="66" spans="1:5" ht="16.5" x14ac:dyDescent="0.3">
      <c r="A66" s="25" t="s">
        <v>38</v>
      </c>
      <c r="B66" s="10">
        <f t="shared" si="15"/>
        <v>1200</v>
      </c>
      <c r="C66" s="10">
        <f>'Budget Explanation Y 2022'!I21</f>
        <v>20000</v>
      </c>
      <c r="D66" s="10">
        <f t="shared" si="16"/>
        <v>5700</v>
      </c>
      <c r="E66" s="10">
        <f>'Budget explanation Y 2023'!I21</f>
        <v>95000</v>
      </c>
    </row>
    <row r="67" spans="1:5" ht="16.5" x14ac:dyDescent="0.3">
      <c r="A67" s="25" t="s">
        <v>34</v>
      </c>
      <c r="B67" s="10">
        <f t="shared" si="15"/>
        <v>2400</v>
      </c>
      <c r="C67" s="10">
        <f>'Budget Explanation Y 2022'!I22</f>
        <v>40000</v>
      </c>
      <c r="D67" s="10">
        <f t="shared" si="16"/>
        <v>768</v>
      </c>
      <c r="E67" s="10">
        <f>'Budget explanation Y 2023'!I22</f>
        <v>12800</v>
      </c>
    </row>
    <row r="68" spans="1:5" ht="16.5" x14ac:dyDescent="0.3">
      <c r="A68" s="25" t="s">
        <v>30</v>
      </c>
      <c r="B68" s="10">
        <f t="shared" si="15"/>
        <v>420</v>
      </c>
      <c r="C68" s="10">
        <f>'Budget Explanation Y 2022'!I23</f>
        <v>7000</v>
      </c>
      <c r="D68" s="10">
        <f t="shared" si="16"/>
        <v>1080</v>
      </c>
      <c r="E68" s="10">
        <f>'Budget explanation Y 2023'!I23</f>
        <v>18000</v>
      </c>
    </row>
    <row r="69" spans="1:5" ht="16.5" x14ac:dyDescent="0.3">
      <c r="A69" s="27" t="s">
        <v>27</v>
      </c>
      <c r="B69" s="11">
        <f>SUM(B61:B68)</f>
        <v>33413.94</v>
      </c>
      <c r="C69" s="11">
        <f>SUM(C61:C68)</f>
        <v>556899</v>
      </c>
      <c r="D69" s="11">
        <f>SUM(D61:D68)</f>
        <v>86284.497599999988</v>
      </c>
      <c r="E69" s="11">
        <f>SUM(E61:E68)</f>
        <v>1438074.96</v>
      </c>
    </row>
    <row r="70" spans="1:5" ht="16.5" x14ac:dyDescent="0.3">
      <c r="A70" s="6" t="s">
        <v>16</v>
      </c>
      <c r="B70" s="24"/>
      <c r="C70" s="24"/>
      <c r="D70" s="24"/>
      <c r="E70" s="14"/>
    </row>
    <row r="71" spans="1:5" ht="16.5" x14ac:dyDescent="0.3">
      <c r="A71" s="6" t="s">
        <v>0</v>
      </c>
      <c r="B71" s="10">
        <f>SUM(C71*0.06)</f>
        <v>336</v>
      </c>
      <c r="C71" s="10">
        <v>5600</v>
      </c>
      <c r="D71" s="10">
        <f>SUM(E71*0.06)</f>
        <v>420</v>
      </c>
      <c r="E71" s="6">
        <v>7000</v>
      </c>
    </row>
    <row r="72" spans="1:5" ht="16.5" x14ac:dyDescent="0.3">
      <c r="A72" s="6"/>
      <c r="B72" s="10"/>
      <c r="C72" s="10"/>
      <c r="D72" s="10"/>
      <c r="E72" s="6"/>
    </row>
    <row r="73" spans="1:5" ht="16.5" x14ac:dyDescent="0.3">
      <c r="A73" s="6"/>
      <c r="B73" s="10"/>
      <c r="C73" s="10"/>
      <c r="D73" s="10"/>
      <c r="E73" s="6"/>
    </row>
    <row r="74" spans="1:5" ht="16.5" x14ac:dyDescent="0.3">
      <c r="A74" s="6"/>
      <c r="B74" s="10"/>
      <c r="C74" s="10"/>
      <c r="D74" s="10"/>
      <c r="E74" s="6"/>
    </row>
    <row r="75" spans="1:5" ht="17.25" thickBot="1" x14ac:dyDescent="0.35">
      <c r="A75" s="27" t="s">
        <v>31</v>
      </c>
      <c r="B75" s="31">
        <f>SUM(B71:B74)</f>
        <v>336</v>
      </c>
      <c r="C75" s="31">
        <f>SUM(C71:C74)</f>
        <v>5600</v>
      </c>
      <c r="D75" s="31">
        <f>SUM(D71:D74)</f>
        <v>420</v>
      </c>
      <c r="E75" s="31">
        <f>SUM(E71:E74)</f>
        <v>7000</v>
      </c>
    </row>
    <row r="76" spans="1:5" ht="18.75" thickBot="1" x14ac:dyDescent="0.4">
      <c r="A76" s="7" t="s">
        <v>4</v>
      </c>
      <c r="B76" s="32">
        <f>SUM(B59+B69+B75)</f>
        <v>84424.59</v>
      </c>
      <c r="C76" s="32">
        <f>SUM(C59+C69+C75)</f>
        <v>1407076.5</v>
      </c>
      <c r="D76" s="32">
        <f>SUM(D59+D69+D75)</f>
        <v>174302.10959999997</v>
      </c>
      <c r="E76" s="32">
        <f>SUM(E59+E69+E75)</f>
        <v>2905035.16</v>
      </c>
    </row>
    <row r="77" spans="1:5" ht="18.75" thickBot="1" x14ac:dyDescent="0.4">
      <c r="A77" s="30" t="s">
        <v>32</v>
      </c>
      <c r="B77" s="34">
        <f>SUM(B46-B76)+B4</f>
        <v>661.41000000000349</v>
      </c>
      <c r="C77" s="34">
        <f t="shared" ref="C77:E77" si="17">SUM(C46-C76)+C4</f>
        <v>11023.5</v>
      </c>
      <c r="D77" s="34">
        <f t="shared" si="17"/>
        <v>515.30040000003294</v>
      </c>
      <c r="E77" s="34">
        <f t="shared" si="17"/>
        <v>8588.339999999851</v>
      </c>
    </row>
    <row r="78" spans="1:5" ht="18.75" thickTop="1" x14ac:dyDescent="0.35">
      <c r="A78" s="28"/>
      <c r="B78" s="29"/>
      <c r="C78" s="29"/>
      <c r="D78" s="29"/>
      <c r="E78" s="29"/>
    </row>
  </sheetData>
  <mergeCells count="3">
    <mergeCell ref="B2:C2"/>
    <mergeCell ref="D2:E2"/>
    <mergeCell ref="A1:E1"/>
  </mergeCells>
  <phoneticPr fontId="1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06" zoomScaleNormal="106" workbookViewId="0">
      <pane ySplit="1" topLeftCell="A12" activePane="bottomLeft" state="frozen"/>
      <selection pane="bottomLeft" activeCell="C13" sqref="C13"/>
    </sheetView>
  </sheetViews>
  <sheetFormatPr defaultRowHeight="15" x14ac:dyDescent="0.25"/>
  <cols>
    <col min="1" max="1" width="28.28515625" customWidth="1"/>
    <col min="2" max="2" width="10.7109375" customWidth="1"/>
    <col min="3" max="3" width="9.42578125" customWidth="1"/>
    <col min="4" max="4" width="8.7109375" customWidth="1"/>
    <col min="6" max="6" width="8.28515625" customWidth="1"/>
    <col min="7" max="7" width="11.42578125" customWidth="1"/>
    <col min="8" max="8" width="9.5703125" customWidth="1"/>
    <col min="9" max="9" width="12" customWidth="1"/>
    <col min="10" max="10" width="11.5703125" customWidth="1"/>
  </cols>
  <sheetData>
    <row r="1" spans="1:10" ht="45" x14ac:dyDescent="0.25">
      <c r="A1" s="39" t="s">
        <v>45</v>
      </c>
      <c r="B1" s="40" t="s">
        <v>51</v>
      </c>
      <c r="C1" s="39" t="s">
        <v>46</v>
      </c>
      <c r="D1" s="39" t="s">
        <v>47</v>
      </c>
      <c r="E1" s="39" t="s">
        <v>48</v>
      </c>
      <c r="F1" s="40" t="s">
        <v>49</v>
      </c>
      <c r="G1" s="40" t="s">
        <v>54</v>
      </c>
      <c r="H1" s="40" t="s">
        <v>55</v>
      </c>
      <c r="I1" s="40" t="s">
        <v>63</v>
      </c>
      <c r="J1" s="41" t="s">
        <v>56</v>
      </c>
    </row>
    <row r="2" spans="1:10" x14ac:dyDescent="0.25">
      <c r="A2" s="35" t="s">
        <v>50</v>
      </c>
      <c r="B2" s="37">
        <v>100</v>
      </c>
      <c r="C2" s="38">
        <v>23500</v>
      </c>
      <c r="D2" s="35"/>
      <c r="E2" s="35"/>
      <c r="F2" s="35"/>
      <c r="G2" s="38">
        <f>SUM(C2+D2+E2+F2)</f>
        <v>23500</v>
      </c>
      <c r="H2" s="38">
        <f>SUM(G2*0.06)</f>
        <v>1410</v>
      </c>
      <c r="I2" s="38">
        <f>SUM(G2*7)</f>
        <v>164500</v>
      </c>
      <c r="J2" s="38">
        <f>SUM(H2*7)</f>
        <v>9870</v>
      </c>
    </row>
    <row r="3" spans="1:10" x14ac:dyDescent="0.25">
      <c r="A3" s="35" t="s">
        <v>53</v>
      </c>
      <c r="B3" s="37">
        <v>100</v>
      </c>
      <c r="C3" s="38">
        <v>16500</v>
      </c>
      <c r="D3" s="38">
        <f>SUM(C3*7%)</f>
        <v>1155</v>
      </c>
      <c r="E3" s="35"/>
      <c r="F3" s="38">
        <f>C3*0.9%</f>
        <v>148.50000000000003</v>
      </c>
      <c r="G3" s="38">
        <f t="shared" ref="G3:G9" si="0">SUM(C3+D3+E3+F3)</f>
        <v>17803.5</v>
      </c>
      <c r="H3" s="38">
        <f t="shared" ref="H3:H9" si="1">SUM(G3*0.06)</f>
        <v>1068.21</v>
      </c>
      <c r="I3" s="38">
        <f t="shared" ref="I3:I9" si="2">SUM(G3*7)</f>
        <v>124624.5</v>
      </c>
      <c r="J3" s="38">
        <f t="shared" ref="J3:J9" si="3">SUM(H3*7)</f>
        <v>7477.47</v>
      </c>
    </row>
    <row r="4" spans="1:10" ht="30" x14ac:dyDescent="0.25">
      <c r="A4" s="36" t="s">
        <v>57</v>
      </c>
      <c r="B4" s="37">
        <v>100</v>
      </c>
      <c r="C4" s="38">
        <v>16500</v>
      </c>
      <c r="D4" s="38">
        <f t="shared" ref="D4:D8" si="4">SUM(C4*7%)</f>
        <v>1155</v>
      </c>
      <c r="E4" s="35"/>
      <c r="F4" s="38">
        <f t="shared" ref="F4:F9" si="5">C4*0.9%</f>
        <v>148.50000000000003</v>
      </c>
      <c r="G4" s="38">
        <f t="shared" si="0"/>
        <v>17803.5</v>
      </c>
      <c r="H4" s="38">
        <f t="shared" si="1"/>
        <v>1068.21</v>
      </c>
      <c r="I4" s="38">
        <f t="shared" si="2"/>
        <v>124624.5</v>
      </c>
      <c r="J4" s="38">
        <f t="shared" si="3"/>
        <v>7477.47</v>
      </c>
    </row>
    <row r="5" spans="1:10" ht="30" x14ac:dyDescent="0.25">
      <c r="A5" s="36" t="s">
        <v>95</v>
      </c>
      <c r="B5" s="37">
        <v>100</v>
      </c>
      <c r="C5" s="38"/>
      <c r="D5" s="38">
        <f t="shared" si="4"/>
        <v>0</v>
      </c>
      <c r="E5" s="35"/>
      <c r="F5" s="38">
        <f t="shared" si="5"/>
        <v>0</v>
      </c>
      <c r="G5" s="38">
        <f t="shared" si="0"/>
        <v>0</v>
      </c>
      <c r="H5" s="38">
        <f t="shared" si="1"/>
        <v>0</v>
      </c>
      <c r="I5" s="38">
        <f t="shared" si="2"/>
        <v>0</v>
      </c>
      <c r="J5" s="38">
        <f t="shared" si="3"/>
        <v>0</v>
      </c>
    </row>
    <row r="6" spans="1:10" x14ac:dyDescent="0.25">
      <c r="A6" s="35" t="s">
        <v>96</v>
      </c>
      <c r="B6" s="37">
        <v>100</v>
      </c>
      <c r="C6" s="38"/>
      <c r="D6" s="38">
        <f t="shared" si="4"/>
        <v>0</v>
      </c>
      <c r="E6" s="35"/>
      <c r="F6" s="38">
        <f t="shared" si="5"/>
        <v>0</v>
      </c>
      <c r="G6" s="38">
        <f t="shared" si="0"/>
        <v>0</v>
      </c>
      <c r="H6" s="38">
        <f t="shared" si="1"/>
        <v>0</v>
      </c>
      <c r="I6" s="38">
        <f t="shared" si="2"/>
        <v>0</v>
      </c>
      <c r="J6" s="38">
        <f t="shared" si="3"/>
        <v>0</v>
      </c>
    </row>
    <row r="7" spans="1:10" x14ac:dyDescent="0.25">
      <c r="A7" s="35" t="s">
        <v>97</v>
      </c>
      <c r="B7" s="37">
        <v>100</v>
      </c>
      <c r="C7" s="38"/>
      <c r="D7" s="38">
        <f t="shared" si="4"/>
        <v>0</v>
      </c>
      <c r="E7" s="35"/>
      <c r="F7" s="38">
        <f t="shared" si="5"/>
        <v>0</v>
      </c>
      <c r="G7" s="38">
        <f t="shared" si="0"/>
        <v>0</v>
      </c>
      <c r="H7" s="38">
        <f t="shared" si="1"/>
        <v>0</v>
      </c>
      <c r="I7" s="38">
        <f t="shared" si="2"/>
        <v>0</v>
      </c>
      <c r="J7" s="38">
        <f t="shared" si="3"/>
        <v>0</v>
      </c>
    </row>
    <row r="8" spans="1:10" x14ac:dyDescent="0.25">
      <c r="A8" s="35" t="s">
        <v>98</v>
      </c>
      <c r="B8" s="37">
        <v>100</v>
      </c>
      <c r="C8" s="38"/>
      <c r="D8" s="38">
        <f t="shared" si="4"/>
        <v>0</v>
      </c>
      <c r="E8" s="35"/>
      <c r="F8" s="38">
        <f t="shared" si="5"/>
        <v>0</v>
      </c>
      <c r="G8" s="38">
        <f t="shared" si="0"/>
        <v>0</v>
      </c>
      <c r="H8" s="38">
        <f t="shared" si="1"/>
        <v>0</v>
      </c>
      <c r="I8" s="38">
        <f t="shared" si="2"/>
        <v>0</v>
      </c>
      <c r="J8" s="38">
        <f t="shared" si="3"/>
        <v>0</v>
      </c>
    </row>
    <row r="9" spans="1:10" x14ac:dyDescent="0.25">
      <c r="A9" s="35"/>
      <c r="B9" s="37"/>
      <c r="C9" s="38"/>
      <c r="D9" s="35"/>
      <c r="E9" s="35"/>
      <c r="F9" s="38">
        <f t="shared" si="5"/>
        <v>0</v>
      </c>
      <c r="G9" s="38">
        <f t="shared" si="0"/>
        <v>0</v>
      </c>
      <c r="H9" s="38">
        <f t="shared" si="1"/>
        <v>0</v>
      </c>
      <c r="I9" s="38">
        <f t="shared" si="2"/>
        <v>0</v>
      </c>
      <c r="J9" s="38">
        <f t="shared" si="3"/>
        <v>0</v>
      </c>
    </row>
    <row r="10" spans="1:10" x14ac:dyDescent="0.25">
      <c r="A10" s="35" t="s">
        <v>52</v>
      </c>
      <c r="B10" s="37"/>
      <c r="C10" s="38">
        <f>SUM(C2:C9)</f>
        <v>56500</v>
      </c>
      <c r="D10" s="38">
        <f t="shared" ref="D10:G10" si="6">SUM(D2:D9)</f>
        <v>2310</v>
      </c>
      <c r="E10" s="38">
        <f t="shared" si="6"/>
        <v>0</v>
      </c>
      <c r="F10" s="38">
        <f t="shared" si="6"/>
        <v>297.00000000000006</v>
      </c>
      <c r="G10" s="38">
        <f t="shared" si="6"/>
        <v>59107</v>
      </c>
      <c r="H10" s="38">
        <f>SUM(H2:H9)</f>
        <v>3546.42</v>
      </c>
      <c r="I10" s="38">
        <f>SUM(I2:I9)</f>
        <v>413749</v>
      </c>
      <c r="J10" s="38">
        <f>+SUM(J2:J9)</f>
        <v>24824.940000000002</v>
      </c>
    </row>
    <row r="12" spans="1:10" ht="45" x14ac:dyDescent="0.25">
      <c r="A12" s="39" t="s">
        <v>58</v>
      </c>
      <c r="B12" s="35" t="s">
        <v>59</v>
      </c>
      <c r="C12" s="36" t="s">
        <v>62</v>
      </c>
      <c r="D12" s="36"/>
      <c r="E12" s="35"/>
      <c r="F12" s="35"/>
      <c r="G12" s="36" t="s">
        <v>60</v>
      </c>
      <c r="H12" s="36" t="s">
        <v>55</v>
      </c>
      <c r="I12" s="36" t="s">
        <v>64</v>
      </c>
      <c r="J12" s="36" t="s">
        <v>56</v>
      </c>
    </row>
    <row r="13" spans="1:10" x14ac:dyDescent="0.25">
      <c r="A13" s="35" t="s">
        <v>61</v>
      </c>
      <c r="B13" s="37">
        <v>100</v>
      </c>
      <c r="C13" s="38">
        <v>3000</v>
      </c>
      <c r="D13" s="35">
        <v>0</v>
      </c>
      <c r="E13" s="35"/>
      <c r="F13" s="35"/>
      <c r="G13" s="38">
        <f>SUM(C13*20)</f>
        <v>60000</v>
      </c>
      <c r="H13" s="38">
        <f>SUM(G13*0.06)</f>
        <v>3600</v>
      </c>
      <c r="I13" s="38">
        <f t="shared" ref="I13:J15" si="7">SUM(G13*7)</f>
        <v>420000</v>
      </c>
      <c r="J13" s="38">
        <f t="shared" si="7"/>
        <v>25200</v>
      </c>
    </row>
    <row r="14" spans="1:10" x14ac:dyDescent="0.25">
      <c r="A14" s="35" t="s">
        <v>82</v>
      </c>
      <c r="B14" s="37">
        <v>100</v>
      </c>
      <c r="C14" s="38">
        <v>12500</v>
      </c>
      <c r="D14" s="38">
        <f>SUM(C14*7%)</f>
        <v>875.00000000000011</v>
      </c>
      <c r="E14" s="35"/>
      <c r="F14" s="38">
        <f>SUM(C14*0.9%)</f>
        <v>112.50000000000001</v>
      </c>
      <c r="G14" s="38">
        <f>SUM(C14+D14+E14+F14)</f>
        <v>13487.5</v>
      </c>
      <c r="H14" s="35">
        <f>SUM(G14*0.06)</f>
        <v>809.25</v>
      </c>
      <c r="I14" s="38">
        <f t="shared" si="7"/>
        <v>94412.5</v>
      </c>
      <c r="J14" s="35">
        <f t="shared" si="7"/>
        <v>5664.75</v>
      </c>
    </row>
    <row r="15" spans="1:10" x14ac:dyDescent="0.25">
      <c r="A15" s="35" t="s">
        <v>83</v>
      </c>
      <c r="B15" s="37">
        <v>100</v>
      </c>
      <c r="C15" s="38">
        <v>5000</v>
      </c>
      <c r="D15" s="38">
        <f>SUM(C15*7%)</f>
        <v>350.00000000000006</v>
      </c>
      <c r="E15" s="35"/>
      <c r="F15" s="38">
        <f>SUM(C15*0.9%)</f>
        <v>45.000000000000007</v>
      </c>
      <c r="G15" s="38">
        <f>SUM(C15+D15+E15+F15)</f>
        <v>5395</v>
      </c>
      <c r="H15" s="38">
        <f>SUM(G15*0.06)</f>
        <v>323.7</v>
      </c>
      <c r="I15" s="38">
        <f t="shared" si="7"/>
        <v>37765</v>
      </c>
      <c r="J15" s="38">
        <f t="shared" si="7"/>
        <v>2265.9</v>
      </c>
    </row>
    <row r="16" spans="1:10" s="1" customFormat="1" x14ac:dyDescent="0.25"/>
    <row r="17" spans="1:10" x14ac:dyDescent="0.25">
      <c r="A17" s="39" t="s">
        <v>28</v>
      </c>
      <c r="B17" s="35"/>
      <c r="C17" s="35"/>
      <c r="D17" s="35"/>
      <c r="E17" s="35"/>
      <c r="F17" s="35"/>
      <c r="G17" s="38">
        <v>6000</v>
      </c>
      <c r="H17" s="38">
        <f>SUM(G17*0.06)</f>
        <v>360</v>
      </c>
      <c r="I17" s="38">
        <f>SUM(G17*7)</f>
        <v>42000</v>
      </c>
      <c r="J17" s="38">
        <f>SUM(H17*7)</f>
        <v>2520</v>
      </c>
    </row>
    <row r="18" spans="1:10" x14ac:dyDescent="0.25">
      <c r="A18" s="39" t="s">
        <v>65</v>
      </c>
      <c r="B18" s="35"/>
      <c r="C18" s="35"/>
      <c r="D18" s="35"/>
      <c r="E18" s="35"/>
      <c r="F18" s="35"/>
      <c r="G18" s="38">
        <v>950</v>
      </c>
      <c r="H18" s="38">
        <f>SUM(G18*0.06)</f>
        <v>57</v>
      </c>
      <c r="I18" s="38">
        <f t="shared" ref="I18:I24" si="8">SUM(G18*7)</f>
        <v>6650</v>
      </c>
      <c r="J18" s="38">
        <f t="shared" ref="J18:J24" si="9">SUM(H18*7)</f>
        <v>399</v>
      </c>
    </row>
    <row r="19" spans="1:10" ht="30" x14ac:dyDescent="0.25">
      <c r="A19" s="40" t="s">
        <v>66</v>
      </c>
      <c r="B19" s="35"/>
      <c r="C19" s="35"/>
      <c r="D19" s="35"/>
      <c r="E19" s="35"/>
      <c r="F19" s="35"/>
      <c r="G19" s="38">
        <v>1500</v>
      </c>
      <c r="H19" s="38">
        <f t="shared" ref="H19:H24" si="10">SUM(G19*0.06)</f>
        <v>90</v>
      </c>
      <c r="I19" s="38">
        <f>SUM(G19*5)</f>
        <v>7500</v>
      </c>
      <c r="J19" s="38">
        <f>SUM(H19*5)</f>
        <v>450</v>
      </c>
    </row>
    <row r="20" spans="1:10" x14ac:dyDescent="0.25">
      <c r="A20" s="39" t="s">
        <v>67</v>
      </c>
      <c r="B20" s="35"/>
      <c r="C20" s="35"/>
      <c r="D20" s="35"/>
      <c r="E20" s="35"/>
      <c r="F20" s="35"/>
      <c r="G20" s="38">
        <v>20000</v>
      </c>
      <c r="H20" s="38">
        <f t="shared" si="10"/>
        <v>1200</v>
      </c>
      <c r="I20" s="38">
        <f>SUM(G20*1)</f>
        <v>20000</v>
      </c>
      <c r="J20" s="38">
        <f>SUM(H20*1)</f>
        <v>1200</v>
      </c>
    </row>
    <row r="21" spans="1:10" x14ac:dyDescent="0.25">
      <c r="A21" s="39" t="s">
        <v>68</v>
      </c>
      <c r="B21" s="35"/>
      <c r="C21" s="35"/>
      <c r="D21" s="35"/>
      <c r="E21" s="35"/>
      <c r="F21" s="35"/>
      <c r="G21" s="38">
        <v>5000</v>
      </c>
      <c r="H21" s="38">
        <f t="shared" si="10"/>
        <v>300</v>
      </c>
      <c r="I21" s="38">
        <f>SUM(G21*4)</f>
        <v>20000</v>
      </c>
      <c r="J21" s="38">
        <f>SUM(H21*4)</f>
        <v>1200</v>
      </c>
    </row>
    <row r="22" spans="1:10" ht="45" x14ac:dyDescent="0.25">
      <c r="A22" s="40" t="s">
        <v>116</v>
      </c>
      <c r="B22" s="35"/>
      <c r="C22" s="35"/>
      <c r="D22" s="35"/>
      <c r="E22" s="35"/>
      <c r="F22" s="35"/>
      <c r="G22" s="38">
        <v>40000</v>
      </c>
      <c r="H22" s="38">
        <f t="shared" si="10"/>
        <v>2400</v>
      </c>
      <c r="I22" s="38">
        <f>SUM(G22*1)</f>
        <v>40000</v>
      </c>
      <c r="J22" s="38">
        <f>SUM(H22*1)</f>
        <v>2400</v>
      </c>
    </row>
    <row r="23" spans="1:10" x14ac:dyDescent="0.25">
      <c r="A23" s="39" t="s">
        <v>30</v>
      </c>
      <c r="B23" s="35"/>
      <c r="C23" s="35"/>
      <c r="D23" s="35"/>
      <c r="E23" s="35"/>
      <c r="F23" s="35"/>
      <c r="G23" s="38">
        <v>1000</v>
      </c>
      <c r="H23" s="38">
        <f t="shared" si="10"/>
        <v>60</v>
      </c>
      <c r="I23" s="38">
        <f t="shared" si="8"/>
        <v>7000</v>
      </c>
      <c r="J23" s="38">
        <f t="shared" si="9"/>
        <v>420</v>
      </c>
    </row>
    <row r="24" spans="1:10" x14ac:dyDescent="0.25">
      <c r="A24" s="35"/>
      <c r="B24" s="35"/>
      <c r="C24" s="35"/>
      <c r="D24" s="35"/>
      <c r="E24" s="35"/>
      <c r="F24" s="35"/>
      <c r="G24" s="35"/>
      <c r="H24" s="38">
        <f t="shared" si="10"/>
        <v>0</v>
      </c>
      <c r="I24" s="38">
        <f t="shared" si="8"/>
        <v>0</v>
      </c>
      <c r="J24" s="38">
        <f t="shared" si="9"/>
        <v>0</v>
      </c>
    </row>
    <row r="25" spans="1:10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</row>
  </sheetData>
  <pageMargins left="0.7" right="0.7" top="0.75" bottom="0.75" header="0.3" footer="0.3"/>
  <pageSetup paperSize="9" orientation="portrait" horizontalDpi="4294967293" verticalDpi="0" r:id="rId1"/>
  <ignoredErrors>
    <ignoredError sqref="I19:J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2" zoomScale="115" zoomScaleNormal="115" workbookViewId="0">
      <selection activeCell="C8" sqref="C8"/>
    </sheetView>
  </sheetViews>
  <sheetFormatPr defaultRowHeight="15" x14ac:dyDescent="0.25"/>
  <cols>
    <col min="1" max="1" width="35.42578125" customWidth="1"/>
    <col min="3" max="3" width="10.85546875" customWidth="1"/>
    <col min="7" max="7" width="12.28515625" customWidth="1"/>
    <col min="9" max="9" width="10.42578125" customWidth="1"/>
    <col min="10" max="10" width="10" customWidth="1"/>
  </cols>
  <sheetData>
    <row r="1" spans="1:10" ht="75" x14ac:dyDescent="0.25">
      <c r="A1" s="35" t="s">
        <v>45</v>
      </c>
      <c r="B1" s="35" t="s">
        <v>51</v>
      </c>
      <c r="C1" s="35" t="s">
        <v>46</v>
      </c>
      <c r="D1" s="35" t="s">
        <v>47</v>
      </c>
      <c r="E1" s="35" t="s">
        <v>48</v>
      </c>
      <c r="F1" s="36" t="s">
        <v>49</v>
      </c>
      <c r="G1" s="36" t="s">
        <v>54</v>
      </c>
      <c r="H1" s="36" t="s">
        <v>55</v>
      </c>
      <c r="I1" s="36" t="s">
        <v>63</v>
      </c>
      <c r="J1" s="36" t="s">
        <v>56</v>
      </c>
    </row>
    <row r="2" spans="1:10" x14ac:dyDescent="0.25">
      <c r="A2" s="35" t="s">
        <v>50</v>
      </c>
      <c r="B2" s="35">
        <v>100</v>
      </c>
      <c r="C2" s="38">
        <v>24350</v>
      </c>
      <c r="D2" s="35"/>
      <c r="E2" s="35"/>
      <c r="F2" s="35"/>
      <c r="G2" s="38">
        <f>SUM(C2+D2+E2+F2)</f>
        <v>24350</v>
      </c>
      <c r="H2" s="38">
        <f>SUM(G2*0.06)</f>
        <v>1461</v>
      </c>
      <c r="I2" s="38">
        <f>SUM(G2*13)</f>
        <v>316550</v>
      </c>
      <c r="J2" s="38">
        <f>SUM(I2*0.06)</f>
        <v>18993</v>
      </c>
    </row>
    <row r="3" spans="1:10" x14ac:dyDescent="0.25">
      <c r="A3" s="35" t="s">
        <v>53</v>
      </c>
      <c r="B3" s="35">
        <v>100</v>
      </c>
      <c r="C3" s="38">
        <f>'Budget Explanation Y 2022'!C3*4%+'Budget Explanation Y 2022'!C3</f>
        <v>17160</v>
      </c>
      <c r="D3" s="35">
        <f t="shared" ref="D3:D8" si="0">SUM(C3*7%)</f>
        <v>1201.2</v>
      </c>
      <c r="E3" s="35"/>
      <c r="F3" s="38">
        <f>C3*0.9%</f>
        <v>154.44000000000003</v>
      </c>
      <c r="G3" s="38">
        <f t="shared" ref="G3:G9" si="1">SUM(C3+D3+E3+F3)</f>
        <v>18515.64</v>
      </c>
      <c r="H3" s="38">
        <f t="shared" ref="H3:H9" si="2">SUM(G3*0.06)</f>
        <v>1110.9384</v>
      </c>
      <c r="I3" s="38">
        <f>SUM(G3*12)+C3</f>
        <v>239347.68</v>
      </c>
      <c r="J3" s="38">
        <f t="shared" ref="J3:J9" si="3">SUM(I3*0.06)</f>
        <v>14360.860799999999</v>
      </c>
    </row>
    <row r="4" spans="1:10" x14ac:dyDescent="0.25">
      <c r="A4" s="35" t="s">
        <v>57</v>
      </c>
      <c r="B4" s="35">
        <v>100</v>
      </c>
      <c r="C4" s="38">
        <f>'Budget Explanation Y 2022'!C4*4%+'Budget Explanation Y 2022'!C4</f>
        <v>17160</v>
      </c>
      <c r="D4" s="35">
        <f t="shared" si="0"/>
        <v>1201.2</v>
      </c>
      <c r="E4" s="35"/>
      <c r="F4" s="38">
        <f t="shared" ref="F4:F8" si="4">C4*0.9%</f>
        <v>154.44000000000003</v>
      </c>
      <c r="G4" s="38">
        <f t="shared" si="1"/>
        <v>18515.64</v>
      </c>
      <c r="H4" s="38">
        <f t="shared" si="2"/>
        <v>1110.9384</v>
      </c>
      <c r="I4" s="38">
        <f t="shared" ref="I4:I8" si="5">SUM(G4*12)+C4</f>
        <v>239347.68</v>
      </c>
      <c r="J4" s="38">
        <f t="shared" si="3"/>
        <v>14360.860799999999</v>
      </c>
    </row>
    <row r="5" spans="1:10" x14ac:dyDescent="0.25">
      <c r="A5" s="35" t="s">
        <v>95</v>
      </c>
      <c r="B5" s="35">
        <v>100</v>
      </c>
      <c r="C5" s="38">
        <f>'Budget Explanation Y 2022'!C5*4%+'Budget Explanation Y 2022'!C5</f>
        <v>0</v>
      </c>
      <c r="D5" s="35">
        <f t="shared" si="0"/>
        <v>0</v>
      </c>
      <c r="E5" s="35"/>
      <c r="F5" s="38">
        <f t="shared" si="4"/>
        <v>0</v>
      </c>
      <c r="G5" s="38">
        <f t="shared" si="1"/>
        <v>0</v>
      </c>
      <c r="H5" s="38">
        <f t="shared" si="2"/>
        <v>0</v>
      </c>
      <c r="I5" s="38">
        <f t="shared" si="5"/>
        <v>0</v>
      </c>
      <c r="J5" s="38">
        <f t="shared" si="3"/>
        <v>0</v>
      </c>
    </row>
    <row r="6" spans="1:10" x14ac:dyDescent="0.25">
      <c r="A6" s="35" t="s">
        <v>96</v>
      </c>
      <c r="B6" s="35">
        <v>100</v>
      </c>
      <c r="C6" s="38">
        <f>'Budget Explanation Y 2022'!C6*4%+'Budget Explanation Y 2022'!C6</f>
        <v>0</v>
      </c>
      <c r="D6" s="38">
        <f t="shared" si="0"/>
        <v>0</v>
      </c>
      <c r="E6" s="35"/>
      <c r="F6" s="38">
        <f t="shared" si="4"/>
        <v>0</v>
      </c>
      <c r="G6" s="38">
        <f t="shared" si="1"/>
        <v>0</v>
      </c>
      <c r="H6" s="38">
        <f t="shared" si="2"/>
        <v>0</v>
      </c>
      <c r="I6" s="38">
        <f t="shared" si="5"/>
        <v>0</v>
      </c>
      <c r="J6" s="38">
        <f t="shared" si="3"/>
        <v>0</v>
      </c>
    </row>
    <row r="7" spans="1:10" x14ac:dyDescent="0.25">
      <c r="A7" s="35" t="s">
        <v>97</v>
      </c>
      <c r="B7" s="35">
        <v>100</v>
      </c>
      <c r="C7" s="38">
        <v>5200</v>
      </c>
      <c r="D7" s="38">
        <f t="shared" si="0"/>
        <v>364.00000000000006</v>
      </c>
      <c r="E7" s="35"/>
      <c r="F7" s="38">
        <f t="shared" si="4"/>
        <v>46.800000000000004</v>
      </c>
      <c r="G7" s="38">
        <f t="shared" si="1"/>
        <v>5610.8</v>
      </c>
      <c r="H7" s="38">
        <f t="shared" si="2"/>
        <v>336.64800000000002</v>
      </c>
      <c r="I7" s="38">
        <f t="shared" si="5"/>
        <v>72529.600000000006</v>
      </c>
      <c r="J7" s="38">
        <f t="shared" si="3"/>
        <v>4351.7759999999998</v>
      </c>
    </row>
    <row r="8" spans="1:10" x14ac:dyDescent="0.25">
      <c r="A8" s="35" t="s">
        <v>98</v>
      </c>
      <c r="B8" s="35">
        <v>100</v>
      </c>
      <c r="C8" s="38">
        <f>'Budget Explanation Y 2022'!C8*4%+'Budget Explanation Y 2022'!C8</f>
        <v>0</v>
      </c>
      <c r="D8" s="38">
        <f t="shared" si="0"/>
        <v>0</v>
      </c>
      <c r="E8" s="35"/>
      <c r="F8" s="38">
        <f t="shared" si="4"/>
        <v>0</v>
      </c>
      <c r="G8" s="38">
        <f t="shared" si="1"/>
        <v>0</v>
      </c>
      <c r="H8" s="38">
        <f t="shared" si="2"/>
        <v>0</v>
      </c>
      <c r="I8" s="38">
        <f t="shared" si="5"/>
        <v>0</v>
      </c>
      <c r="J8" s="38">
        <f t="shared" si="3"/>
        <v>0</v>
      </c>
    </row>
    <row r="9" spans="1:10" x14ac:dyDescent="0.25">
      <c r="A9" s="35" t="s">
        <v>100</v>
      </c>
      <c r="B9" s="35">
        <v>100</v>
      </c>
      <c r="C9" s="38">
        <v>25250</v>
      </c>
      <c r="D9" s="38"/>
      <c r="E9" s="35"/>
      <c r="F9" s="38"/>
      <c r="G9" s="38">
        <f t="shared" si="1"/>
        <v>25250</v>
      </c>
      <c r="H9" s="38">
        <f t="shared" si="2"/>
        <v>1515</v>
      </c>
      <c r="I9" s="38">
        <f>SUM(G9*13)</f>
        <v>328250</v>
      </c>
      <c r="J9" s="38">
        <f t="shared" si="3"/>
        <v>19695</v>
      </c>
    </row>
    <row r="10" spans="1:10" x14ac:dyDescent="0.25">
      <c r="A10" s="35" t="s">
        <v>52</v>
      </c>
      <c r="B10" s="35"/>
      <c r="C10" s="38">
        <f>SUM(C2:C9)</f>
        <v>89120</v>
      </c>
      <c r="D10" s="38">
        <f t="shared" ref="D10:H10" si="6">SUM(D2:D9)</f>
        <v>2766.4</v>
      </c>
      <c r="E10" s="38">
        <f t="shared" si="6"/>
        <v>0</v>
      </c>
      <c r="F10" s="38">
        <f t="shared" si="6"/>
        <v>355.68000000000006</v>
      </c>
      <c r="G10" s="38">
        <f t="shared" si="6"/>
        <v>92242.08</v>
      </c>
      <c r="H10" s="38">
        <f t="shared" si="6"/>
        <v>5534.5248000000001</v>
      </c>
      <c r="I10" s="38">
        <f t="shared" ref="I10" si="7">SUM(I2:I9)</f>
        <v>1196024.96</v>
      </c>
      <c r="J10" s="38">
        <f t="shared" ref="J10" si="8">SUM(J2:J9)</f>
        <v>71761.497599999988</v>
      </c>
    </row>
    <row r="11" spans="1:10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60" x14ac:dyDescent="0.25">
      <c r="A12" s="35" t="s">
        <v>58</v>
      </c>
      <c r="B12" s="35" t="s">
        <v>59</v>
      </c>
      <c r="C12" s="36" t="s">
        <v>62</v>
      </c>
      <c r="D12" s="35"/>
      <c r="E12" s="35"/>
      <c r="F12" s="35"/>
      <c r="G12" s="36" t="s">
        <v>60</v>
      </c>
      <c r="H12" s="36" t="s">
        <v>55</v>
      </c>
      <c r="I12" s="36" t="s">
        <v>64</v>
      </c>
      <c r="J12" s="36" t="s">
        <v>56</v>
      </c>
    </row>
    <row r="13" spans="1:10" x14ac:dyDescent="0.25">
      <c r="A13" s="35" t="s">
        <v>61</v>
      </c>
      <c r="B13" s="35">
        <v>100</v>
      </c>
      <c r="C13" s="38">
        <v>3200</v>
      </c>
      <c r="D13" s="35">
        <v>0</v>
      </c>
      <c r="E13" s="35"/>
      <c r="F13" s="35"/>
      <c r="G13" s="38">
        <f>SUM(C13*20)</f>
        <v>64000</v>
      </c>
      <c r="H13" s="38">
        <f>SUM(G13*0.06)</f>
        <v>3840</v>
      </c>
      <c r="I13" s="38">
        <f>SUM(G13*12)</f>
        <v>768000</v>
      </c>
      <c r="J13" s="38">
        <f>SUM(I13*0.06)</f>
        <v>46080</v>
      </c>
    </row>
    <row r="14" spans="1:10" x14ac:dyDescent="0.25">
      <c r="A14" s="35" t="s">
        <v>82</v>
      </c>
      <c r="B14" s="35">
        <v>100</v>
      </c>
      <c r="C14" s="38">
        <v>12850</v>
      </c>
      <c r="D14" s="35"/>
      <c r="E14" s="35"/>
      <c r="F14" s="35">
        <f>C14*0.9%</f>
        <v>115.65000000000002</v>
      </c>
      <c r="G14" s="38">
        <f>SUM(C14+D14+E14+F14)</f>
        <v>12965.65</v>
      </c>
      <c r="H14" s="38">
        <f t="shared" ref="H14:H15" si="9">SUM(G14*0.06)</f>
        <v>777.93899999999996</v>
      </c>
      <c r="I14" s="38">
        <f t="shared" ref="I14:I15" si="10">SUM(G14*12)</f>
        <v>155587.79999999999</v>
      </c>
      <c r="J14" s="38">
        <f t="shared" ref="J14:J15" si="11">SUM(I14*0.06)</f>
        <v>9335.2679999999982</v>
      </c>
    </row>
    <row r="15" spans="1:10" x14ac:dyDescent="0.25">
      <c r="A15" s="35" t="s">
        <v>83</v>
      </c>
      <c r="B15" s="35">
        <v>100</v>
      </c>
      <c r="C15" s="38">
        <v>5300</v>
      </c>
      <c r="D15" s="35"/>
      <c r="E15" s="35"/>
      <c r="F15" s="35">
        <f>C15*0.9%</f>
        <v>47.7</v>
      </c>
      <c r="G15" s="38">
        <f>SUM(C15+D15+E15+F15)</f>
        <v>5347.7</v>
      </c>
      <c r="H15" s="38">
        <f t="shared" si="9"/>
        <v>320.86199999999997</v>
      </c>
      <c r="I15" s="38">
        <f t="shared" si="10"/>
        <v>64172.399999999994</v>
      </c>
      <c r="J15" s="38">
        <f t="shared" si="11"/>
        <v>3850.3439999999996</v>
      </c>
    </row>
    <row r="16" spans="1:10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</row>
    <row r="17" spans="1:10" x14ac:dyDescent="0.25">
      <c r="A17" s="35" t="s">
        <v>28</v>
      </c>
      <c r="B17" s="35"/>
      <c r="C17" s="35"/>
      <c r="D17" s="35"/>
      <c r="E17" s="35"/>
      <c r="F17" s="35"/>
      <c r="G17" s="38">
        <v>7000</v>
      </c>
      <c r="H17" s="38">
        <f>G17*0.06</f>
        <v>420</v>
      </c>
      <c r="I17" s="38">
        <f>G17*12</f>
        <v>84000</v>
      </c>
      <c r="J17" s="38">
        <f>I17*0.06</f>
        <v>5040</v>
      </c>
    </row>
    <row r="18" spans="1:10" x14ac:dyDescent="0.25">
      <c r="A18" s="35" t="s">
        <v>65</v>
      </c>
      <c r="B18" s="35"/>
      <c r="C18" s="35"/>
      <c r="D18" s="35"/>
      <c r="E18" s="35"/>
      <c r="F18" s="35"/>
      <c r="G18" s="38">
        <v>950</v>
      </c>
      <c r="H18" s="38">
        <f t="shared" ref="H18:H23" si="12">G18*0.06</f>
        <v>57</v>
      </c>
      <c r="I18" s="38">
        <f t="shared" ref="I18:I23" si="13">G18*12</f>
        <v>11400</v>
      </c>
      <c r="J18" s="38">
        <f t="shared" ref="J18:J23" si="14">I18*0.06</f>
        <v>684</v>
      </c>
    </row>
    <row r="19" spans="1:10" x14ac:dyDescent="0.25">
      <c r="A19" s="35" t="s">
        <v>66</v>
      </c>
      <c r="B19" s="35"/>
      <c r="C19" s="35"/>
      <c r="D19" s="35"/>
      <c r="E19" s="35"/>
      <c r="F19" s="35"/>
      <c r="G19" s="38">
        <v>1650</v>
      </c>
      <c r="H19" s="38">
        <f t="shared" si="12"/>
        <v>99</v>
      </c>
      <c r="I19" s="38">
        <f>G19*9</f>
        <v>14850</v>
      </c>
      <c r="J19" s="38">
        <f t="shared" si="14"/>
        <v>891</v>
      </c>
    </row>
    <row r="20" spans="1:10" x14ac:dyDescent="0.25">
      <c r="A20" s="35" t="s">
        <v>115</v>
      </c>
      <c r="B20" s="35"/>
      <c r="C20" s="35"/>
      <c r="D20" s="35"/>
      <c r="E20" s="35"/>
      <c r="F20" s="35"/>
      <c r="G20" s="38">
        <v>6000</v>
      </c>
      <c r="H20" s="38">
        <f t="shared" si="12"/>
        <v>360</v>
      </c>
      <c r="I20" s="38">
        <f>G20</f>
        <v>6000</v>
      </c>
      <c r="J20" s="38">
        <f t="shared" si="14"/>
        <v>360</v>
      </c>
    </row>
    <row r="21" spans="1:10" x14ac:dyDescent="0.25">
      <c r="A21" s="35" t="s">
        <v>68</v>
      </c>
      <c r="B21" s="35"/>
      <c r="C21" s="35"/>
      <c r="D21" s="35"/>
      <c r="E21" s="35"/>
      <c r="F21" s="35"/>
      <c r="G21" s="38">
        <v>5000</v>
      </c>
      <c r="H21" s="38">
        <f t="shared" si="12"/>
        <v>300</v>
      </c>
      <c r="I21" s="38">
        <f>G21*19</f>
        <v>95000</v>
      </c>
      <c r="J21" s="38">
        <f t="shared" si="14"/>
        <v>5700</v>
      </c>
    </row>
    <row r="22" spans="1:10" x14ac:dyDescent="0.25">
      <c r="A22" s="35" t="s">
        <v>101</v>
      </c>
      <c r="B22" s="35"/>
      <c r="C22" s="35"/>
      <c r="D22" s="35"/>
      <c r="E22" s="35"/>
      <c r="F22" s="35"/>
      <c r="G22" s="38">
        <v>12800</v>
      </c>
      <c r="H22" s="38">
        <f t="shared" si="12"/>
        <v>768</v>
      </c>
      <c r="I22" s="38">
        <f>G22</f>
        <v>12800</v>
      </c>
      <c r="J22" s="38">
        <f t="shared" si="14"/>
        <v>768</v>
      </c>
    </row>
    <row r="23" spans="1:10" x14ac:dyDescent="0.25">
      <c r="A23" s="35" t="s">
        <v>30</v>
      </c>
      <c r="B23" s="35"/>
      <c r="C23" s="35"/>
      <c r="D23" s="35"/>
      <c r="E23" s="35"/>
      <c r="F23" s="35"/>
      <c r="G23" s="38">
        <v>1500</v>
      </c>
      <c r="H23" s="38">
        <f t="shared" si="12"/>
        <v>90</v>
      </c>
      <c r="I23" s="38">
        <f t="shared" si="13"/>
        <v>18000</v>
      </c>
      <c r="J23" s="38">
        <f t="shared" si="14"/>
        <v>1080</v>
      </c>
    </row>
    <row r="24" spans="1:10" x14ac:dyDescent="0.25">
      <c r="A24" s="35"/>
      <c r="B24" s="35"/>
      <c r="C24" s="35"/>
      <c r="D24" s="35"/>
      <c r="E24" s="35"/>
      <c r="F24" s="35"/>
      <c r="G24" s="35"/>
      <c r="H24" s="35">
        <v>0</v>
      </c>
      <c r="I24" s="35">
        <v>0</v>
      </c>
      <c r="J24" s="3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85" zoomScaleNormal="85" workbookViewId="0">
      <selection activeCell="H6" sqref="H6"/>
    </sheetView>
  </sheetViews>
  <sheetFormatPr defaultRowHeight="15" x14ac:dyDescent="0.25"/>
  <cols>
    <col min="1" max="1" width="26.28515625" customWidth="1"/>
    <col min="2" max="2" width="9.140625" customWidth="1"/>
    <col min="3" max="3" width="12" customWidth="1"/>
    <col min="4" max="5" width="9.42578125" customWidth="1"/>
    <col min="6" max="6" width="13.42578125" customWidth="1"/>
    <col min="7" max="7" width="10.140625" customWidth="1"/>
    <col min="8" max="8" width="14.28515625" customWidth="1"/>
    <col min="9" max="9" width="11.5703125" customWidth="1"/>
    <col min="10" max="10" width="11.42578125" customWidth="1"/>
  </cols>
  <sheetData>
    <row r="1" spans="1:10" ht="45" x14ac:dyDescent="0.25">
      <c r="A1" s="39" t="s">
        <v>69</v>
      </c>
      <c r="B1" s="39" t="s">
        <v>70</v>
      </c>
      <c r="C1" s="39" t="s">
        <v>94</v>
      </c>
      <c r="D1" s="39" t="s">
        <v>71</v>
      </c>
      <c r="E1" s="39" t="s">
        <v>72</v>
      </c>
      <c r="F1" s="40" t="s">
        <v>73</v>
      </c>
      <c r="G1" s="40" t="s">
        <v>74</v>
      </c>
      <c r="H1" s="40" t="s">
        <v>86</v>
      </c>
      <c r="I1" s="40" t="s">
        <v>75</v>
      </c>
      <c r="J1" s="40" t="s">
        <v>76</v>
      </c>
    </row>
    <row r="2" spans="1:10" ht="45" x14ac:dyDescent="0.25">
      <c r="A2" s="44" t="s">
        <v>77</v>
      </c>
      <c r="B2" s="38">
        <v>2000</v>
      </c>
      <c r="C2" s="38">
        <v>30000</v>
      </c>
      <c r="D2" s="38">
        <v>6500</v>
      </c>
      <c r="E2" s="38">
        <v>25000</v>
      </c>
      <c r="F2" s="38">
        <v>3000</v>
      </c>
      <c r="G2" s="38">
        <v>0</v>
      </c>
      <c r="H2" s="38">
        <v>1200</v>
      </c>
      <c r="I2" s="38">
        <f>SUM(B2+C2+D2+E2+F2+G2+H2)</f>
        <v>67700</v>
      </c>
      <c r="J2" s="38">
        <f>SUM(I2*0.06)</f>
        <v>4062</v>
      </c>
    </row>
    <row r="3" spans="1:10" x14ac:dyDescent="0.25">
      <c r="A3" s="45" t="s">
        <v>78</v>
      </c>
      <c r="B3" s="38">
        <v>4000</v>
      </c>
      <c r="C3" s="38">
        <v>40000</v>
      </c>
      <c r="D3" s="38">
        <v>0</v>
      </c>
      <c r="E3" s="38">
        <v>20000</v>
      </c>
      <c r="F3" s="38">
        <v>0</v>
      </c>
      <c r="G3" s="38">
        <v>0</v>
      </c>
      <c r="H3" s="38"/>
      <c r="I3" s="38">
        <f t="shared" ref="I3:I12" si="0">SUM(B3+C3+D3+E3+F3+G3+H3)</f>
        <v>64000</v>
      </c>
      <c r="J3" s="38">
        <f t="shared" ref="J3:J12" si="1">SUM(I3*0.06)</f>
        <v>3840</v>
      </c>
    </row>
    <row r="4" spans="1:10" ht="30" x14ac:dyDescent="0.25">
      <c r="A4" s="44" t="s">
        <v>79</v>
      </c>
      <c r="B4" s="38">
        <v>2500</v>
      </c>
      <c r="C4" s="38">
        <v>15000</v>
      </c>
      <c r="D4" s="38">
        <v>0</v>
      </c>
      <c r="E4" s="38">
        <v>0</v>
      </c>
      <c r="F4" s="38">
        <v>0</v>
      </c>
      <c r="G4" s="38">
        <v>10000</v>
      </c>
      <c r="H4" s="38">
        <v>1200</v>
      </c>
      <c r="I4" s="38">
        <f t="shared" si="0"/>
        <v>28700</v>
      </c>
      <c r="J4" s="38">
        <f t="shared" si="1"/>
        <v>1722</v>
      </c>
    </row>
    <row r="5" spans="1:10" ht="60" x14ac:dyDescent="0.25">
      <c r="A5" s="44" t="s">
        <v>80</v>
      </c>
      <c r="B5" s="38">
        <v>0</v>
      </c>
      <c r="C5" s="38">
        <v>0</v>
      </c>
      <c r="D5" s="38">
        <v>0</v>
      </c>
      <c r="E5" s="38">
        <v>0</v>
      </c>
      <c r="F5" s="38">
        <f>'Budget Explanation Y 2022'!I13</f>
        <v>420000</v>
      </c>
      <c r="G5" s="38">
        <v>0</v>
      </c>
      <c r="H5" s="38">
        <v>30000</v>
      </c>
      <c r="I5" s="38">
        <f t="shared" si="0"/>
        <v>450000</v>
      </c>
      <c r="J5" s="38">
        <f t="shared" si="1"/>
        <v>27000</v>
      </c>
    </row>
    <row r="6" spans="1:10" ht="45" x14ac:dyDescent="0.25">
      <c r="A6" s="44" t="s">
        <v>81</v>
      </c>
      <c r="B6" s="38">
        <v>0</v>
      </c>
      <c r="C6" s="38">
        <v>30000</v>
      </c>
      <c r="D6" s="38">
        <v>0</v>
      </c>
      <c r="E6" s="38">
        <v>0</v>
      </c>
      <c r="F6" s="38">
        <v>0</v>
      </c>
      <c r="G6" s="38">
        <v>0</v>
      </c>
      <c r="H6" s="38">
        <v>5000</v>
      </c>
      <c r="I6" s="38">
        <f t="shared" si="0"/>
        <v>35000</v>
      </c>
      <c r="J6" s="38">
        <f t="shared" si="1"/>
        <v>2100</v>
      </c>
    </row>
    <row r="7" spans="1:10" ht="45" x14ac:dyDescent="0.25">
      <c r="A7" s="44" t="s">
        <v>93</v>
      </c>
      <c r="B7" s="38">
        <v>2000</v>
      </c>
      <c r="C7" s="38">
        <v>15000</v>
      </c>
      <c r="D7" s="38">
        <v>0</v>
      </c>
      <c r="E7" s="38">
        <v>0</v>
      </c>
      <c r="F7" s="38">
        <f>'Budget Explanation Y 2022'!I14</f>
        <v>94412.5</v>
      </c>
      <c r="G7" s="38">
        <v>0</v>
      </c>
      <c r="H7" s="38">
        <v>40000</v>
      </c>
      <c r="I7" s="38">
        <f t="shared" si="0"/>
        <v>151412.5</v>
      </c>
      <c r="J7" s="38">
        <f t="shared" si="1"/>
        <v>9084.75</v>
      </c>
    </row>
    <row r="8" spans="1:10" x14ac:dyDescent="0.25">
      <c r="A8" s="45" t="s">
        <v>85</v>
      </c>
      <c r="B8" s="38">
        <v>0</v>
      </c>
      <c r="C8" s="38">
        <v>0</v>
      </c>
      <c r="D8" s="38">
        <v>0</v>
      </c>
      <c r="E8" s="38">
        <v>0</v>
      </c>
      <c r="F8" s="38">
        <f>'Budget Explanation Y 2022'!I15</f>
        <v>37765</v>
      </c>
      <c r="G8" s="38">
        <v>0</v>
      </c>
      <c r="H8" s="38">
        <v>10000</v>
      </c>
      <c r="I8" s="38">
        <f t="shared" si="0"/>
        <v>47765</v>
      </c>
      <c r="J8" s="38">
        <f t="shared" si="1"/>
        <v>2865.9</v>
      </c>
    </row>
    <row r="9" spans="1:10" x14ac:dyDescent="0.25">
      <c r="A9" s="42"/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f t="shared" si="0"/>
        <v>0</v>
      </c>
      <c r="J9" s="38">
        <f t="shared" si="1"/>
        <v>0</v>
      </c>
    </row>
    <row r="10" spans="1:10" x14ac:dyDescent="0.25">
      <c r="A10" s="42"/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f t="shared" si="0"/>
        <v>0</v>
      </c>
      <c r="J10" s="38">
        <f t="shared" si="1"/>
        <v>0</v>
      </c>
    </row>
    <row r="11" spans="1:10" x14ac:dyDescent="0.25">
      <c r="A11" s="42"/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f t="shared" si="0"/>
        <v>0</v>
      </c>
      <c r="J11" s="38">
        <f t="shared" si="1"/>
        <v>0</v>
      </c>
    </row>
    <row r="12" spans="1:10" x14ac:dyDescent="0.25">
      <c r="A12" s="42"/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f t="shared" si="0"/>
        <v>0</v>
      </c>
      <c r="J12" s="38">
        <f t="shared" si="1"/>
        <v>0</v>
      </c>
    </row>
    <row r="13" spans="1:10" x14ac:dyDescent="0.25">
      <c r="A13" s="42"/>
      <c r="B13" s="35"/>
      <c r="C13" s="35"/>
      <c r="D13" s="35"/>
      <c r="E13" s="35"/>
      <c r="F13" s="35"/>
      <c r="G13" s="35"/>
      <c r="H13" s="35"/>
      <c r="I13" s="35"/>
      <c r="J13" s="35"/>
    </row>
    <row r="14" spans="1:10" x14ac:dyDescent="0.25">
      <c r="A14" s="43"/>
    </row>
    <row r="15" spans="1:10" x14ac:dyDescent="0.25">
      <c r="A15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pane ySplit="1" topLeftCell="A7" activePane="bottomLeft" state="frozen"/>
      <selection pane="bottomLeft" activeCell="C1" sqref="C1"/>
    </sheetView>
  </sheetViews>
  <sheetFormatPr defaultRowHeight="15" x14ac:dyDescent="0.25"/>
  <cols>
    <col min="1" max="1" width="26.28515625" customWidth="1"/>
    <col min="2" max="2" width="9.140625" customWidth="1"/>
    <col min="3" max="3" width="8.7109375" customWidth="1"/>
    <col min="4" max="4" width="8.85546875" customWidth="1"/>
    <col min="5" max="5" width="9.5703125" customWidth="1"/>
    <col min="6" max="6" width="11.140625" customWidth="1"/>
    <col min="7" max="7" width="9.7109375" customWidth="1"/>
    <col min="8" max="8" width="14.28515625" customWidth="1"/>
    <col min="9" max="9" width="9.85546875" customWidth="1"/>
    <col min="10" max="10" width="8.5703125" customWidth="1"/>
  </cols>
  <sheetData>
    <row r="1" spans="1:10" ht="45" x14ac:dyDescent="0.25">
      <c r="A1" s="39" t="s">
        <v>69</v>
      </c>
      <c r="B1" s="39" t="s">
        <v>70</v>
      </c>
      <c r="C1" s="40" t="s">
        <v>94</v>
      </c>
      <c r="D1" s="39" t="s">
        <v>71</v>
      </c>
      <c r="E1" s="39" t="s">
        <v>72</v>
      </c>
      <c r="F1" s="40" t="s">
        <v>73</v>
      </c>
      <c r="G1" s="40" t="s">
        <v>74</v>
      </c>
      <c r="H1" s="40" t="s">
        <v>86</v>
      </c>
      <c r="I1" s="40" t="s">
        <v>75</v>
      </c>
      <c r="J1" s="40" t="s">
        <v>76</v>
      </c>
    </row>
    <row r="2" spans="1:10" ht="45" x14ac:dyDescent="0.25">
      <c r="A2" s="44" t="s">
        <v>77</v>
      </c>
      <c r="B2" s="38">
        <v>2000</v>
      </c>
      <c r="C2" s="38">
        <v>30000</v>
      </c>
      <c r="D2" s="38">
        <v>6500</v>
      </c>
      <c r="E2" s="38">
        <v>25000</v>
      </c>
      <c r="F2" s="38">
        <v>3000</v>
      </c>
      <c r="G2" s="38">
        <v>0</v>
      </c>
      <c r="H2" s="38">
        <v>1000</v>
      </c>
      <c r="I2" s="38">
        <f>SUM(B2+C2+D2+E2+F2+G2+H2)</f>
        <v>67500</v>
      </c>
      <c r="J2" s="38">
        <f>SUM(I2*0.06)</f>
        <v>4050</v>
      </c>
    </row>
    <row r="3" spans="1:10" x14ac:dyDescent="0.25">
      <c r="A3" s="45" t="s">
        <v>78</v>
      </c>
      <c r="B3" s="38">
        <v>3000</v>
      </c>
      <c r="C3" s="38">
        <v>40000</v>
      </c>
      <c r="D3" s="38">
        <v>0</v>
      </c>
      <c r="E3" s="38">
        <v>20000</v>
      </c>
      <c r="F3" s="38">
        <v>0</v>
      </c>
      <c r="G3" s="38">
        <v>0</v>
      </c>
      <c r="H3" s="38"/>
      <c r="I3" s="38">
        <f t="shared" ref="I3:I12" si="0">SUM(B3+C3+D3+E3+F3+G3+H3)</f>
        <v>63000</v>
      </c>
      <c r="J3" s="38">
        <f t="shared" ref="J3:J12" si="1">SUM(I3*0.06)</f>
        <v>3780</v>
      </c>
    </row>
    <row r="4" spans="1:10" ht="45" x14ac:dyDescent="0.25">
      <c r="A4" s="44" t="s">
        <v>102</v>
      </c>
      <c r="B4" s="38">
        <v>2500</v>
      </c>
      <c r="C4" s="38">
        <v>15000</v>
      </c>
      <c r="D4" s="38">
        <v>0</v>
      </c>
      <c r="E4" s="38">
        <v>0</v>
      </c>
      <c r="F4" s="38">
        <v>0</v>
      </c>
      <c r="G4" s="38">
        <v>10000</v>
      </c>
      <c r="H4" s="38">
        <v>1200</v>
      </c>
      <c r="I4" s="38">
        <f t="shared" si="0"/>
        <v>28700</v>
      </c>
      <c r="J4" s="38">
        <f t="shared" si="1"/>
        <v>1722</v>
      </c>
    </row>
    <row r="5" spans="1:10" ht="60" x14ac:dyDescent="0.25">
      <c r="A5" s="44" t="s">
        <v>103</v>
      </c>
      <c r="B5" s="38">
        <v>0</v>
      </c>
      <c r="C5" s="38">
        <v>0</v>
      </c>
      <c r="D5" s="38">
        <v>0</v>
      </c>
      <c r="E5" s="38">
        <v>0</v>
      </c>
      <c r="F5" s="38">
        <f>'Budget explanation Y 2023'!I13</f>
        <v>768000</v>
      </c>
      <c r="G5" s="38">
        <v>0</v>
      </c>
      <c r="H5" s="38">
        <v>40000</v>
      </c>
      <c r="I5" s="38">
        <f t="shared" si="0"/>
        <v>808000</v>
      </c>
      <c r="J5" s="38">
        <f t="shared" si="1"/>
        <v>48480</v>
      </c>
    </row>
    <row r="6" spans="1:10" ht="45" x14ac:dyDescent="0.25">
      <c r="A6" s="44" t="s">
        <v>81</v>
      </c>
      <c r="B6" s="38">
        <v>0</v>
      </c>
      <c r="C6" s="38">
        <v>30000</v>
      </c>
      <c r="D6" s="38">
        <v>0</v>
      </c>
      <c r="E6" s="38">
        <v>0</v>
      </c>
      <c r="F6" s="38">
        <v>0</v>
      </c>
      <c r="G6" s="38">
        <v>0</v>
      </c>
      <c r="H6" s="38">
        <v>5000</v>
      </c>
      <c r="I6" s="38">
        <f t="shared" si="0"/>
        <v>35000</v>
      </c>
      <c r="J6" s="38">
        <f t="shared" si="1"/>
        <v>2100</v>
      </c>
    </row>
    <row r="7" spans="1:10" ht="60" x14ac:dyDescent="0.25">
      <c r="A7" s="44" t="s">
        <v>104</v>
      </c>
      <c r="B7" s="38">
        <v>2000</v>
      </c>
      <c r="C7" s="38">
        <v>30000</v>
      </c>
      <c r="D7" s="38">
        <v>0</v>
      </c>
      <c r="E7" s="38">
        <v>0</v>
      </c>
      <c r="F7" s="38">
        <f>'Budget explanation Y 2023'!I14</f>
        <v>155587.79999999999</v>
      </c>
      <c r="G7" s="38">
        <v>0</v>
      </c>
      <c r="H7" s="38">
        <v>45000</v>
      </c>
      <c r="I7" s="38">
        <f t="shared" si="0"/>
        <v>232587.8</v>
      </c>
      <c r="J7" s="38">
        <f t="shared" si="1"/>
        <v>13955.267999999998</v>
      </c>
    </row>
    <row r="8" spans="1:10" ht="30" x14ac:dyDescent="0.25">
      <c r="A8" s="44" t="s">
        <v>105</v>
      </c>
      <c r="B8" s="38">
        <v>0</v>
      </c>
      <c r="C8" s="38">
        <v>10000</v>
      </c>
      <c r="D8" s="38">
        <v>0</v>
      </c>
      <c r="E8" s="38">
        <v>0</v>
      </c>
      <c r="F8" s="38">
        <f>'Budget explanation Y 2023'!I15</f>
        <v>64172.399999999994</v>
      </c>
      <c r="G8" s="38">
        <v>0</v>
      </c>
      <c r="H8" s="38">
        <v>10000</v>
      </c>
      <c r="I8" s="38">
        <f t="shared" si="0"/>
        <v>84172.4</v>
      </c>
      <c r="J8" s="38">
        <f t="shared" si="1"/>
        <v>5050.3439999999991</v>
      </c>
    </row>
    <row r="9" spans="1:10" x14ac:dyDescent="0.25">
      <c r="A9" s="42" t="s">
        <v>112</v>
      </c>
      <c r="B9" s="38">
        <v>10000</v>
      </c>
      <c r="C9" s="38">
        <v>25000</v>
      </c>
      <c r="D9" s="38">
        <v>10000</v>
      </c>
      <c r="E9" s="38">
        <v>0</v>
      </c>
      <c r="F9" s="38">
        <v>12000</v>
      </c>
      <c r="G9" s="38">
        <v>0</v>
      </c>
      <c r="H9" s="38">
        <v>3500</v>
      </c>
      <c r="I9" s="38">
        <f t="shared" si="0"/>
        <v>60500</v>
      </c>
      <c r="J9" s="38">
        <f t="shared" si="1"/>
        <v>3630</v>
      </c>
    </row>
    <row r="10" spans="1:10" x14ac:dyDescent="0.25">
      <c r="A10" s="42" t="s">
        <v>114</v>
      </c>
      <c r="B10" s="38">
        <v>15000</v>
      </c>
      <c r="C10" s="38">
        <v>35000</v>
      </c>
      <c r="D10" s="38">
        <v>15000</v>
      </c>
      <c r="E10" s="38">
        <v>0</v>
      </c>
      <c r="F10" s="38">
        <v>12000</v>
      </c>
      <c r="G10" s="38">
        <v>0</v>
      </c>
      <c r="H10" s="38">
        <v>3500</v>
      </c>
      <c r="I10" s="38">
        <f t="shared" si="0"/>
        <v>80500</v>
      </c>
      <c r="J10" s="38">
        <f t="shared" si="1"/>
        <v>4830</v>
      </c>
    </row>
    <row r="11" spans="1:10" x14ac:dyDescent="0.25">
      <c r="A11" s="42"/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f t="shared" si="0"/>
        <v>0</v>
      </c>
      <c r="J11" s="38">
        <f t="shared" si="1"/>
        <v>0</v>
      </c>
    </row>
    <row r="12" spans="1:10" x14ac:dyDescent="0.25">
      <c r="A12" s="42"/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f t="shared" si="0"/>
        <v>0</v>
      </c>
      <c r="J12" s="38">
        <f t="shared" si="1"/>
        <v>0</v>
      </c>
    </row>
    <row r="13" spans="1:10" x14ac:dyDescent="0.25">
      <c r="A13" s="42"/>
      <c r="B13" s="35"/>
      <c r="C13" s="35"/>
      <c r="D13" s="35"/>
      <c r="E13" s="35"/>
      <c r="F13" s="35"/>
      <c r="G13" s="35"/>
      <c r="H13" s="35"/>
      <c r="I13" s="35"/>
      <c r="J13" s="35"/>
    </row>
    <row r="14" spans="1:10" x14ac:dyDescent="0.25">
      <c r="A14" s="43"/>
    </row>
    <row r="15" spans="1:10" x14ac:dyDescent="0.25">
      <c r="A15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Draft Budget</vt:lpstr>
      <vt:lpstr>Budget Explanation Y 2022</vt:lpstr>
      <vt:lpstr>Budget explanation Y 2023</vt:lpstr>
      <vt:lpstr>Program Activites Y 2022</vt:lpstr>
      <vt:lpstr>Program Activites Y 2023</vt:lpstr>
    </vt:vector>
  </TitlesOfParts>
  <Company>GlobalGiving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Bright</dc:creator>
  <cp:lastModifiedBy>Uraine</cp:lastModifiedBy>
  <dcterms:created xsi:type="dcterms:W3CDTF">2012-07-12T18:05:31Z</dcterms:created>
  <dcterms:modified xsi:type="dcterms:W3CDTF">2022-08-10T20:54:48Z</dcterms:modified>
</cp:coreProperties>
</file>