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650"/>
  </bookViews>
  <sheets>
    <sheet name="Assumptions" sheetId="2" r:id="rId1"/>
    <sheet name="Cost-Details" sheetId="1" r:id="rId2"/>
    <sheet name="Revenue" sheetId="3" r:id="rId3"/>
    <sheet name="Contribution" sheetId="4" r:id="rId4"/>
    <sheet name="Implementation-Plan" sheetId="5" r:id="rId5"/>
  </sheets>
  <calcPr calcId="152511"/>
</workbook>
</file>

<file path=xl/calcChain.xml><?xml version="1.0" encoding="utf-8"?>
<calcChain xmlns="http://schemas.openxmlformats.org/spreadsheetml/2006/main">
  <c r="G6" i="4" l="1"/>
  <c r="J14" i="1"/>
  <c r="F7" i="4"/>
  <c r="G43" i="1"/>
  <c r="G38" i="1"/>
  <c r="G35" i="1"/>
  <c r="G36" i="1"/>
  <c r="G37" i="1"/>
  <c r="G34" i="1"/>
  <c r="G30" i="1"/>
  <c r="G31" i="1"/>
  <c r="G29" i="1"/>
  <c r="G27" i="1"/>
  <c r="G26" i="1"/>
  <c r="G25" i="1"/>
  <c r="G22" i="1"/>
  <c r="G21" i="1"/>
  <c r="G17" i="1"/>
  <c r="G12" i="1"/>
  <c r="G13" i="1"/>
  <c r="G14" i="1"/>
  <c r="G11" i="1"/>
  <c r="G6" i="1"/>
  <c r="G7" i="1"/>
  <c r="G8" i="1"/>
  <c r="G5" i="1"/>
  <c r="G15" i="1" l="1"/>
  <c r="F15" i="1"/>
  <c r="F14" i="1"/>
  <c r="A2" i="5" l="1"/>
  <c r="A1" i="5"/>
  <c r="G14" i="4"/>
  <c r="B13" i="4"/>
  <c r="D12" i="4"/>
  <c r="C12" i="4"/>
  <c r="B12" i="4"/>
  <c r="C11" i="4"/>
  <c r="B11" i="4"/>
  <c r="C10" i="4"/>
  <c r="B10" i="4"/>
  <c r="C9" i="4"/>
  <c r="B9" i="4"/>
  <c r="B8" i="4"/>
  <c r="D7" i="4"/>
  <c r="H7" i="4" s="1"/>
  <c r="C7" i="4"/>
  <c r="B7" i="4"/>
  <c r="B6" i="4"/>
  <c r="A2" i="4"/>
  <c r="A1" i="4"/>
  <c r="A2" i="3"/>
  <c r="A1" i="3"/>
  <c r="A2" i="2"/>
  <c r="A1" i="2"/>
  <c r="H35" i="3"/>
  <c r="I35" i="3" s="1"/>
  <c r="J35" i="3" s="1"/>
  <c r="K35" i="3"/>
  <c r="L35" i="3" s="1"/>
  <c r="M35" i="3" s="1"/>
  <c r="N35" i="3"/>
  <c r="R35" i="3"/>
  <c r="D35" i="3"/>
  <c r="F35" i="3" s="1"/>
  <c r="G35" i="3" s="1"/>
  <c r="K34" i="3"/>
  <c r="L34" i="3" s="1"/>
  <c r="M34" i="3" s="1"/>
  <c r="H34" i="3"/>
  <c r="I34" i="3" s="1"/>
  <c r="J34" i="3" s="1"/>
  <c r="N34" i="3"/>
  <c r="R34" i="3"/>
  <c r="D34" i="3"/>
  <c r="F34" i="3" s="1"/>
  <c r="G34" i="3" s="1"/>
  <c r="R33" i="3"/>
  <c r="N33" i="3"/>
  <c r="K33" i="3"/>
  <c r="L33" i="3" s="1"/>
  <c r="M33" i="3" s="1"/>
  <c r="H33" i="3"/>
  <c r="I33" i="3" s="1"/>
  <c r="J33" i="3" s="1"/>
  <c r="D33" i="3"/>
  <c r="F33" i="3" s="1"/>
  <c r="R32" i="3"/>
  <c r="N32" i="3"/>
  <c r="K32" i="3"/>
  <c r="L32" i="3" s="1"/>
  <c r="M32" i="3" s="1"/>
  <c r="H32" i="3"/>
  <c r="I32" i="3" s="1"/>
  <c r="D32" i="3"/>
  <c r="F32" i="3" s="1"/>
  <c r="R31" i="3"/>
  <c r="O32" i="3"/>
  <c r="O33" i="3"/>
  <c r="O34" i="3"/>
  <c r="O35" i="3"/>
  <c r="O36" i="3"/>
  <c r="S36" i="3" s="1"/>
  <c r="O37" i="3"/>
  <c r="P37" i="3" s="1"/>
  <c r="Q37" i="3" s="1"/>
  <c r="O38" i="3"/>
  <c r="S38" i="3" s="1"/>
  <c r="P36" i="3"/>
  <c r="Q36" i="3" s="1"/>
  <c r="O31" i="3"/>
  <c r="N31" i="3"/>
  <c r="L36" i="3"/>
  <c r="M36" i="3" s="1"/>
  <c r="L37" i="3"/>
  <c r="M37" i="3" s="1"/>
  <c r="L38" i="3"/>
  <c r="M38" i="3"/>
  <c r="K31" i="3"/>
  <c r="L31" i="3" s="1"/>
  <c r="M31" i="3" s="1"/>
  <c r="F36" i="3"/>
  <c r="G36" i="3" s="1"/>
  <c r="F37" i="3"/>
  <c r="G37" i="3" s="1"/>
  <c r="F38" i="3"/>
  <c r="G38" i="3" s="1"/>
  <c r="I36" i="3"/>
  <c r="J36" i="3" s="1"/>
  <c r="I37" i="3"/>
  <c r="J37" i="3" s="1"/>
  <c r="I38" i="3"/>
  <c r="J38" i="3" s="1"/>
  <c r="D31" i="3"/>
  <c r="F31" i="3" s="1"/>
  <c r="G31" i="3" s="1"/>
  <c r="H31" i="3"/>
  <c r="I31" i="3" s="1"/>
  <c r="J31" i="3" s="1"/>
  <c r="M24" i="3"/>
  <c r="M27" i="3"/>
  <c r="G27" i="3"/>
  <c r="R27" i="3"/>
  <c r="N27" i="3"/>
  <c r="K27" i="3"/>
  <c r="L27" i="3" s="1"/>
  <c r="H27" i="3"/>
  <c r="I27" i="3" s="1"/>
  <c r="J27" i="3" s="1"/>
  <c r="D27" i="3"/>
  <c r="F27" i="3" s="1"/>
  <c r="F28" i="3" s="1"/>
  <c r="R24" i="3"/>
  <c r="N24" i="3"/>
  <c r="K24" i="3"/>
  <c r="L24" i="3" s="1"/>
  <c r="H24" i="3"/>
  <c r="I24" i="3" s="1"/>
  <c r="D24" i="3"/>
  <c r="F24" i="3" s="1"/>
  <c r="F25" i="3" s="1"/>
  <c r="R21" i="3"/>
  <c r="N21" i="3"/>
  <c r="K21" i="3"/>
  <c r="H21" i="3"/>
  <c r="D21" i="3"/>
  <c r="O27" i="3"/>
  <c r="O24" i="3"/>
  <c r="E12" i="4" l="1"/>
  <c r="E14" i="4" s="1"/>
  <c r="F14" i="4"/>
  <c r="I25" i="3"/>
  <c r="J24" i="3"/>
  <c r="J25" i="3" s="1"/>
  <c r="M25" i="3"/>
  <c r="S31" i="3"/>
  <c r="P31" i="3"/>
  <c r="Q31" i="3" s="1"/>
  <c r="G24" i="3"/>
  <c r="G25" i="3" s="1"/>
  <c r="M28" i="3"/>
  <c r="S35" i="3"/>
  <c r="U35" i="3" s="1"/>
  <c r="P35" i="3"/>
  <c r="Q35" i="3" s="1"/>
  <c r="P34" i="3"/>
  <c r="Q34" i="3" s="1"/>
  <c r="S34" i="3"/>
  <c r="T34" i="3" s="1"/>
  <c r="V34" i="3"/>
  <c r="P33" i="3"/>
  <c r="Q33" i="3" s="1"/>
  <c r="M39" i="3"/>
  <c r="G33" i="3"/>
  <c r="F39" i="3"/>
  <c r="S32" i="3"/>
  <c r="L39" i="3"/>
  <c r="J32" i="3"/>
  <c r="J39" i="3" s="1"/>
  <c r="I39" i="3"/>
  <c r="P38" i="3"/>
  <c r="Q38" i="3" s="1"/>
  <c r="S37" i="3"/>
  <c r="T37" i="3" s="1"/>
  <c r="V37" i="3" s="1"/>
  <c r="U36" i="3"/>
  <c r="T36" i="3"/>
  <c r="V36" i="3"/>
  <c r="P32" i="3"/>
  <c r="T38" i="3"/>
  <c r="V38" i="3" s="1"/>
  <c r="S33" i="3"/>
  <c r="G32" i="3"/>
  <c r="S27" i="3"/>
  <c r="S28" i="3" s="1"/>
  <c r="J28" i="3"/>
  <c r="I28" i="3"/>
  <c r="P24" i="3"/>
  <c r="L28" i="3"/>
  <c r="S24" i="3"/>
  <c r="L25" i="3"/>
  <c r="G28" i="3"/>
  <c r="P27" i="3"/>
  <c r="Q27" i="3" s="1"/>
  <c r="R18" i="3"/>
  <c r="S18" i="3" s="1"/>
  <c r="T18" i="3" s="1"/>
  <c r="N18" i="3"/>
  <c r="K18" i="3"/>
  <c r="H18" i="3"/>
  <c r="D18" i="3"/>
  <c r="R15" i="3"/>
  <c r="R16" i="3" s="1"/>
  <c r="N15" i="3"/>
  <c r="N16" i="3" s="1"/>
  <c r="K15" i="3"/>
  <c r="K16" i="3" s="1"/>
  <c r="H15" i="3"/>
  <c r="H16" i="3" s="1"/>
  <c r="D15" i="3"/>
  <c r="F15" i="3" s="1"/>
  <c r="G15" i="3" s="1"/>
  <c r="G32" i="1"/>
  <c r="D11" i="4" s="1"/>
  <c r="H11" i="4" s="1"/>
  <c r="F32" i="1"/>
  <c r="F31" i="1"/>
  <c r="F8" i="2"/>
  <c r="G8" i="2"/>
  <c r="E8" i="2"/>
  <c r="D8" i="2"/>
  <c r="C8" i="2"/>
  <c r="E5" i="2"/>
  <c r="K7" i="3" s="1"/>
  <c r="L7" i="3" s="1"/>
  <c r="M7" i="3" s="1"/>
  <c r="D5" i="2"/>
  <c r="H7" i="3" s="1"/>
  <c r="I7" i="3" s="1"/>
  <c r="J7" i="3" s="1"/>
  <c r="O21" i="3"/>
  <c r="P21" i="3" s="1"/>
  <c r="Q21" i="3" s="1"/>
  <c r="L21" i="3"/>
  <c r="M21" i="3" s="1"/>
  <c r="I21" i="3"/>
  <c r="J21" i="3" s="1"/>
  <c r="F21" i="3"/>
  <c r="G21" i="3" s="1"/>
  <c r="O15" i="3"/>
  <c r="O12" i="3"/>
  <c r="S12" i="3" s="1"/>
  <c r="T12" i="3" s="1"/>
  <c r="O11" i="3"/>
  <c r="S11" i="3" s="1"/>
  <c r="T11" i="3" s="1"/>
  <c r="O10" i="3"/>
  <c r="S10" i="3" s="1"/>
  <c r="T10" i="3" s="1"/>
  <c r="O9" i="3"/>
  <c r="S9" i="3" s="1"/>
  <c r="T9" i="3" s="1"/>
  <c r="O8" i="3"/>
  <c r="S8" i="3" s="1"/>
  <c r="T8" i="3" s="1"/>
  <c r="O7" i="3"/>
  <c r="S7" i="3" s="1"/>
  <c r="T7" i="3" s="1"/>
  <c r="G7" i="2"/>
  <c r="G6" i="2"/>
  <c r="F6" i="2"/>
  <c r="N8" i="3" s="1"/>
  <c r="E6" i="2"/>
  <c r="K8" i="3" s="1"/>
  <c r="D6" i="2"/>
  <c r="H12" i="3" s="1"/>
  <c r="I12" i="3" s="1"/>
  <c r="J12" i="3" s="1"/>
  <c r="C6" i="2"/>
  <c r="D8" i="3" s="1"/>
  <c r="G5" i="2"/>
  <c r="F5" i="2"/>
  <c r="N7" i="3" s="1"/>
  <c r="C5" i="2"/>
  <c r="D7" i="3" s="1"/>
  <c r="F7" i="3" s="1"/>
  <c r="G7" i="3" s="1"/>
  <c r="H12" i="4" l="1"/>
  <c r="U34" i="3"/>
  <c r="U31" i="3"/>
  <c r="T31" i="3"/>
  <c r="V31" i="3" s="1"/>
  <c r="T35" i="3"/>
  <c r="V35" i="3" s="1"/>
  <c r="T27" i="3"/>
  <c r="T28" i="3" s="1"/>
  <c r="S25" i="3"/>
  <c r="T24" i="3"/>
  <c r="T25" i="3" s="1"/>
  <c r="P25" i="3"/>
  <c r="Q24" i="3"/>
  <c r="Q25" i="3" s="1"/>
  <c r="G39" i="3"/>
  <c r="T32" i="3"/>
  <c r="S39" i="3"/>
  <c r="Q32" i="3"/>
  <c r="Q39" i="3" s="1"/>
  <c r="P39" i="3"/>
  <c r="U38" i="3"/>
  <c r="U37" i="3"/>
  <c r="U32" i="3"/>
  <c r="U33" i="3"/>
  <c r="T33" i="3"/>
  <c r="V33" i="3" s="1"/>
  <c r="U24" i="3"/>
  <c r="U25" i="3" s="1"/>
  <c r="P28" i="3"/>
  <c r="Q28" i="3"/>
  <c r="U27" i="3"/>
  <c r="V27" i="3" s="1"/>
  <c r="G22" i="3"/>
  <c r="L15" i="3"/>
  <c r="M15" i="3" s="1"/>
  <c r="M16" i="3" s="1"/>
  <c r="S21" i="3"/>
  <c r="T21" i="3" s="1"/>
  <c r="D16" i="3"/>
  <c r="F22" i="3"/>
  <c r="P12" i="3"/>
  <c r="Q12" i="3" s="1"/>
  <c r="P11" i="3"/>
  <c r="Q11" i="3" s="1"/>
  <c r="P10" i="3"/>
  <c r="Q10" i="3" s="1"/>
  <c r="P9" i="3"/>
  <c r="Q9" i="3" s="1"/>
  <c r="P8" i="3"/>
  <c r="Q8" i="3" s="1"/>
  <c r="L8" i="3"/>
  <c r="M8" i="3" s="1"/>
  <c r="K9" i="3"/>
  <c r="L9" i="3" s="1"/>
  <c r="M9" i="3" s="1"/>
  <c r="D11" i="3"/>
  <c r="F11" i="3" s="1"/>
  <c r="G11" i="3" s="1"/>
  <c r="K12" i="3"/>
  <c r="L12" i="3" s="1"/>
  <c r="M12" i="3" s="1"/>
  <c r="K11" i="3"/>
  <c r="L11" i="3" s="1"/>
  <c r="M11" i="3" s="1"/>
  <c r="P7" i="3"/>
  <c r="F8" i="3"/>
  <c r="G8" i="3" s="1"/>
  <c r="D9" i="3"/>
  <c r="S15" i="3"/>
  <c r="T15" i="3" s="1"/>
  <c r="P15" i="3"/>
  <c r="Q15" i="3" s="1"/>
  <c r="I22" i="3"/>
  <c r="S13" i="3"/>
  <c r="S19" i="3"/>
  <c r="D12" i="3"/>
  <c r="F12" i="3" s="1"/>
  <c r="G12" i="3" s="1"/>
  <c r="L18" i="3"/>
  <c r="M18" i="3" s="1"/>
  <c r="I15" i="3"/>
  <c r="J15" i="3" s="1"/>
  <c r="J22" i="3"/>
  <c r="I18" i="3"/>
  <c r="J18" i="3" s="1"/>
  <c r="F18" i="3"/>
  <c r="G18" i="3" s="1"/>
  <c r="M22" i="3"/>
  <c r="L22" i="3"/>
  <c r="H8" i="3"/>
  <c r="H11" i="3"/>
  <c r="I11" i="3" s="1"/>
  <c r="J11" i="3" s="1"/>
  <c r="V24" i="3" l="1"/>
  <c r="V25" i="3" s="1"/>
  <c r="T39" i="3"/>
  <c r="V39" i="3" s="1"/>
  <c r="U39" i="3"/>
  <c r="V32" i="3"/>
  <c r="S22" i="3"/>
  <c r="U21" i="3"/>
  <c r="V21" i="3" s="1"/>
  <c r="U28" i="3"/>
  <c r="V28" i="3"/>
  <c r="U7" i="3"/>
  <c r="V7" i="3" s="1"/>
  <c r="Q7" i="3"/>
  <c r="Q13" i="3" s="1"/>
  <c r="K10" i="3"/>
  <c r="L10" i="3" s="1"/>
  <c r="M10" i="3" s="1"/>
  <c r="M13" i="3" s="1"/>
  <c r="P13" i="3"/>
  <c r="F16" i="3"/>
  <c r="G16" i="3"/>
  <c r="P18" i="3"/>
  <c r="Q18" i="3" s="1"/>
  <c r="H9" i="3"/>
  <c r="I8" i="3"/>
  <c r="J8" i="3" s="1"/>
  <c r="T19" i="3"/>
  <c r="T13" i="3"/>
  <c r="U11" i="3"/>
  <c r="V11" i="3" s="1"/>
  <c r="P16" i="3"/>
  <c r="Q16" i="3"/>
  <c r="Q22" i="3"/>
  <c r="P22" i="3"/>
  <c r="U15" i="3"/>
  <c r="V15" i="3" s="1"/>
  <c r="S16" i="3"/>
  <c r="U12" i="3"/>
  <c r="G19" i="3"/>
  <c r="F19" i="3"/>
  <c r="T22" i="3"/>
  <c r="I16" i="3"/>
  <c r="J16" i="3"/>
  <c r="I19" i="3"/>
  <c r="J19" i="3"/>
  <c r="L16" i="3"/>
  <c r="F9" i="3"/>
  <c r="G9" i="3" s="1"/>
  <c r="D10" i="3"/>
  <c r="F10" i="3" s="1"/>
  <c r="G10" i="3" s="1"/>
  <c r="F43" i="1"/>
  <c r="F42" i="1"/>
  <c r="G42" i="1" s="1"/>
  <c r="F35" i="1"/>
  <c r="F36" i="1"/>
  <c r="F37" i="1"/>
  <c r="F34" i="1"/>
  <c r="F40" i="1"/>
  <c r="G40" i="1" s="1"/>
  <c r="F41" i="1"/>
  <c r="G41" i="1" s="1"/>
  <c r="F29" i="1"/>
  <c r="F30" i="1"/>
  <c r="F26" i="1"/>
  <c r="F8" i="1"/>
  <c r="F11" i="1"/>
  <c r="F12" i="1"/>
  <c r="F13" i="1"/>
  <c r="G44" i="1" l="1"/>
  <c r="D13" i="4" s="1"/>
  <c r="H13" i="4" s="1"/>
  <c r="S29" i="3"/>
  <c r="S40" i="3" s="1"/>
  <c r="T40" i="3" s="1"/>
  <c r="V22" i="3"/>
  <c r="G13" i="3"/>
  <c r="G29" i="3" s="1"/>
  <c r="L13" i="3"/>
  <c r="V12" i="3"/>
  <c r="T16" i="3"/>
  <c r="T29" i="3" s="1"/>
  <c r="U22" i="3"/>
  <c r="M19" i="3"/>
  <c r="M29" i="3" s="1"/>
  <c r="U16" i="3"/>
  <c r="L19" i="3"/>
  <c r="L29" i="3" s="1"/>
  <c r="L40" i="3" s="1"/>
  <c r="M40" i="3" s="1"/>
  <c r="U8" i="3"/>
  <c r="V8" i="3" s="1"/>
  <c r="P19" i="3"/>
  <c r="P29" i="3" s="1"/>
  <c r="P40" i="3" s="1"/>
  <c r="Q40" i="3" s="1"/>
  <c r="U18" i="3"/>
  <c r="V18" i="3" s="1"/>
  <c r="H10" i="3"/>
  <c r="I10" i="3" s="1"/>
  <c r="J10" i="3" s="1"/>
  <c r="I9" i="3"/>
  <c r="J9" i="3" s="1"/>
  <c r="N19" i="3"/>
  <c r="F13" i="3"/>
  <c r="F29" i="3" s="1"/>
  <c r="F40" i="3" s="1"/>
  <c r="G40" i="3" s="1"/>
  <c r="F38" i="1"/>
  <c r="F44" i="1"/>
  <c r="C13" i="4" s="1"/>
  <c r="F6" i="1"/>
  <c r="F7" i="1"/>
  <c r="F17" i="1"/>
  <c r="F18" i="1"/>
  <c r="G18" i="1" s="1"/>
  <c r="F21" i="1"/>
  <c r="F22" i="1"/>
  <c r="F25" i="1"/>
  <c r="F5" i="1"/>
  <c r="G9" i="1" l="1"/>
  <c r="D6" i="4" s="1"/>
  <c r="Q19" i="3"/>
  <c r="Q29" i="3" s="1"/>
  <c r="J13" i="3"/>
  <c r="J29" i="3" s="1"/>
  <c r="U9" i="3"/>
  <c r="U10" i="3"/>
  <c r="V10" i="3" s="1"/>
  <c r="I13" i="3"/>
  <c r="I29" i="3" s="1"/>
  <c r="I40" i="3" s="1"/>
  <c r="J40" i="3" s="1"/>
  <c r="V16" i="3"/>
  <c r="U19" i="3"/>
  <c r="D10" i="4"/>
  <c r="H10" i="4" s="1"/>
  <c r="F27" i="1"/>
  <c r="G23" i="1"/>
  <c r="D9" i="4" s="1"/>
  <c r="H9" i="4" s="1"/>
  <c r="F23" i="1"/>
  <c r="G19" i="1"/>
  <c r="D8" i="4" s="1"/>
  <c r="H8" i="4" s="1"/>
  <c r="F19" i="1"/>
  <c r="C8" i="4" s="1"/>
  <c r="F9" i="1"/>
  <c r="C6" i="4" s="1"/>
  <c r="C14" i="4" s="1"/>
  <c r="D14" i="4" l="1"/>
  <c r="H6" i="4"/>
  <c r="H14" i="4" s="1"/>
  <c r="F45" i="1"/>
  <c r="G45" i="1"/>
  <c r="U13" i="3"/>
  <c r="U29" i="3" s="1"/>
  <c r="U40" i="3" s="1"/>
  <c r="V40" i="3" s="1"/>
  <c r="V9" i="3"/>
  <c r="V13" i="3" s="1"/>
  <c r="V19" i="3"/>
  <c r="H15" i="4" l="1"/>
  <c r="D15" i="4"/>
  <c r="E15" i="4"/>
  <c r="F15" i="4"/>
  <c r="G15" i="4"/>
  <c r="V29" i="3"/>
</calcChain>
</file>

<file path=xl/sharedStrings.xml><?xml version="1.0" encoding="utf-8"?>
<sst xmlns="http://schemas.openxmlformats.org/spreadsheetml/2006/main" count="286" uniqueCount="148">
  <si>
    <t>Indigenous Women-led Commercial Farming in Nepal</t>
  </si>
  <si>
    <t>Rotary Club of Narayangarh</t>
  </si>
  <si>
    <t>SN</t>
  </si>
  <si>
    <t>Description</t>
  </si>
  <si>
    <t>Unit</t>
  </si>
  <si>
    <t>Qtty</t>
  </si>
  <si>
    <t>Rate</t>
  </si>
  <si>
    <t>Amount (NPR)</t>
  </si>
  <si>
    <t>Amount (USD)</t>
  </si>
  <si>
    <t>Remarks</t>
  </si>
  <si>
    <t>Fish Farming</t>
  </si>
  <si>
    <t>Pond construction in 1 ha land</t>
  </si>
  <si>
    <t>No.</t>
  </si>
  <si>
    <t>5 Carp species baby fish</t>
  </si>
  <si>
    <t>Nos.</t>
  </si>
  <si>
    <t>Fencing of pond by wiremesh</t>
  </si>
  <si>
    <t>Set</t>
  </si>
  <si>
    <t>Eco-tourism</t>
  </si>
  <si>
    <t>Solar Pumping system</t>
  </si>
  <si>
    <t>Goat Farming</t>
  </si>
  <si>
    <t>Goat House</t>
  </si>
  <si>
    <t>Poultry Farming</t>
  </si>
  <si>
    <t>House</t>
  </si>
  <si>
    <t>Chicks</t>
  </si>
  <si>
    <t>Pig Farming</t>
  </si>
  <si>
    <t>Baby pigs</t>
  </si>
  <si>
    <t>Duck Farming</t>
  </si>
  <si>
    <t xml:space="preserve">Baby Ducks </t>
  </si>
  <si>
    <t>Duck house</t>
  </si>
  <si>
    <t>Management Cost</t>
  </si>
  <si>
    <t>MM</t>
  </si>
  <si>
    <t>Capacity Building</t>
  </si>
  <si>
    <t>Rate (NPR)</t>
  </si>
  <si>
    <t>Commercial farming training to Women Group</t>
  </si>
  <si>
    <t>Hospitality training to women group</t>
  </si>
  <si>
    <t>Cook training for selected 2-3 women members</t>
  </si>
  <si>
    <t>Tour guide training for selected 2-3 women members</t>
  </si>
  <si>
    <t>event</t>
  </si>
  <si>
    <t>Monitoring and evaluation</t>
  </si>
  <si>
    <t>Jobs</t>
  </si>
  <si>
    <t>Information display board</t>
  </si>
  <si>
    <t>Finishing and Furnishing</t>
  </si>
  <si>
    <t>Social mobilizer salary</t>
  </si>
  <si>
    <t>Technician salary</t>
  </si>
  <si>
    <t>Sub-total</t>
  </si>
  <si>
    <t>Grand-total</t>
  </si>
  <si>
    <t>Assumptions</t>
  </si>
  <si>
    <t>Occupancy</t>
  </si>
  <si>
    <t>Total</t>
  </si>
  <si>
    <t>Total Nos. of Rooms</t>
  </si>
  <si>
    <t>Nos. of guests</t>
  </si>
  <si>
    <t>Nos. of Solar Irrigation</t>
  </si>
  <si>
    <t>Revenue Calculations</t>
  </si>
  <si>
    <t>Total of 5 years</t>
  </si>
  <si>
    <t>Activities</t>
  </si>
  <si>
    <t>Rate/ Unit</t>
  </si>
  <si>
    <t>Eco-tourism Homestay</t>
  </si>
  <si>
    <t>RD</t>
  </si>
  <si>
    <t xml:space="preserve">Breakfast </t>
  </si>
  <si>
    <t>Packs</t>
  </si>
  <si>
    <t xml:space="preserve">Lunch </t>
  </si>
  <si>
    <t xml:space="preserve">Dinner </t>
  </si>
  <si>
    <t>Miscellaneous drinks</t>
  </si>
  <si>
    <t>Tour packages: jungle walk, tourist places visits, Tharu village safari etc.</t>
  </si>
  <si>
    <t>Sub-Total</t>
  </si>
  <si>
    <t>Kg</t>
  </si>
  <si>
    <t>Grand Total</t>
  </si>
  <si>
    <t>ha</t>
  </si>
  <si>
    <t>1st Year (2021)</t>
  </si>
  <si>
    <t>2nd Year (2022)</t>
  </si>
  <si>
    <t>3rd Year (2023)</t>
  </si>
  <si>
    <t>4th Year (2024)</t>
  </si>
  <si>
    <t>5th Year (2025)</t>
  </si>
  <si>
    <t>Fish</t>
  </si>
  <si>
    <t>Pig</t>
  </si>
  <si>
    <t>Goat</t>
  </si>
  <si>
    <t>Guest</t>
  </si>
  <si>
    <t>Duck</t>
  </si>
  <si>
    <t>Local Chicken</t>
  </si>
  <si>
    <t>Baby goats (20 female)</t>
  </si>
  <si>
    <t>Hatching machine</t>
  </si>
  <si>
    <t>Selling of 20000 fish every year</t>
  </si>
  <si>
    <t>Selling of Live Goat</t>
  </si>
  <si>
    <t>Selling of Live Pig</t>
  </si>
  <si>
    <t>Selling of Live Ducks</t>
  </si>
  <si>
    <t>Selling of Live Local Chicken</t>
  </si>
  <si>
    <t>Operational Costs</t>
  </si>
  <si>
    <t>Foods for the fish</t>
  </si>
  <si>
    <t>Foods for the Chicken</t>
  </si>
  <si>
    <t>Foods for the pig</t>
  </si>
  <si>
    <t>Foods for the Ducks</t>
  </si>
  <si>
    <t>Foods for the Goats</t>
  </si>
  <si>
    <t>Staff salary</t>
  </si>
  <si>
    <t xml:space="preserve">Transportation </t>
  </si>
  <si>
    <t>Miscellaneous expenses</t>
  </si>
  <si>
    <t>LS</t>
  </si>
  <si>
    <t>Sub Total</t>
  </si>
  <si>
    <t>Net Profit</t>
  </si>
  <si>
    <t>Major Topics of Expenditures</t>
  </si>
  <si>
    <t>Amount in NPR</t>
  </si>
  <si>
    <t>Amount in USD</t>
  </si>
  <si>
    <t>RCN</t>
  </si>
  <si>
    <t>Community</t>
  </si>
  <si>
    <t>Madi Municipality</t>
  </si>
  <si>
    <t>Contribution Pattern</t>
  </si>
  <si>
    <t>Donor</t>
  </si>
  <si>
    <t xml:space="preserve">Total </t>
  </si>
  <si>
    <t>%</t>
  </si>
  <si>
    <t>Community in Kind</t>
  </si>
  <si>
    <t>All rates incl. of 13% VAT</t>
  </si>
  <si>
    <t>Proposed Contribution Pattern (USD)</t>
  </si>
  <si>
    <t>Implementation Schedule</t>
  </si>
  <si>
    <t>Timeline (1 March 2021- 28 February 2022)</t>
  </si>
  <si>
    <t>1W</t>
  </si>
  <si>
    <t>2W</t>
  </si>
  <si>
    <t>3W</t>
  </si>
  <si>
    <t>4W</t>
  </si>
  <si>
    <t>Milestones</t>
  </si>
  <si>
    <t>Responsibility</t>
  </si>
  <si>
    <t>Supply and farming of 5 Carp species fish</t>
  </si>
  <si>
    <t>Supply and installation of solar Pumping system</t>
  </si>
  <si>
    <t>Construction of Climate and cultural friendly homestay houses incl. toilet/ bathroom</t>
  </si>
  <si>
    <t>Supply and installation of Finishing and Furnishing</t>
  </si>
  <si>
    <t>Supply and installation of Water treatment facilities</t>
  </si>
  <si>
    <t>Buying and raising goats (20 female)</t>
  </si>
  <si>
    <t>Goat House construction</t>
  </si>
  <si>
    <t>House Construction</t>
  </si>
  <si>
    <t>Buying and raising Chicken</t>
  </si>
  <si>
    <t>House construction</t>
  </si>
  <si>
    <t>Buying and raising pigs</t>
  </si>
  <si>
    <t>Duck house construction</t>
  </si>
  <si>
    <t>Buying and raising of ducks</t>
  </si>
  <si>
    <t>Purchasing and installation of Hatching machine</t>
  </si>
  <si>
    <t>Miscellaneous</t>
  </si>
  <si>
    <t>Social mobilization works</t>
  </si>
  <si>
    <t>Installation of information display board</t>
  </si>
  <si>
    <t>Monitoring and evaluation works</t>
  </si>
  <si>
    <t xml:space="preserve">Inauguration and handover </t>
  </si>
  <si>
    <t>MI</t>
  </si>
  <si>
    <t>MII</t>
  </si>
  <si>
    <t>MIII</t>
  </si>
  <si>
    <t>MIV</t>
  </si>
  <si>
    <t>MV</t>
  </si>
  <si>
    <t>MVI</t>
  </si>
  <si>
    <t>Room fare  excl. breakfast</t>
  </si>
  <si>
    <t>Solar Home System</t>
  </si>
  <si>
    <t>Climate and cultural friendly homestay houses</t>
  </si>
  <si>
    <t>Household Water treatment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</si>
</sst>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0" fontId="3" fillId="0" borderId="1" xfId="0" applyFont="1" applyBorder="1"/>
    <xf numFmtId="0" fontId="2" fillId="0" borderId="1" xfId="0" applyFont="1" applyBorder="1"/>
    <xf numFmtId="43" fontId="0" fillId="0" borderId="1" xfId="1" applyFont="1" applyBorder="1"/>
    <xf numFmtId="0" fontId="3" fillId="0" borderId="1" xfId="0" applyFont="1" applyBorder="1" applyAlignment="1">
      <alignment wrapText="1"/>
    </xf>
    <xf numFmtId="43" fontId="2" fillId="0" borderId="1" xfId="1" applyFont="1" applyBorder="1"/>
    <xf numFmtId="43" fontId="2" fillId="0" borderId="1" xfId="0" applyNumberFormat="1" applyFont="1" applyBorder="1"/>
    <xf numFmtId="0" fontId="4" fillId="0" borderId="1" xfId="0" applyFont="1" applyBorder="1"/>
    <xf numFmtId="165" fontId="0" fillId="0" borderId="1" xfId="1" applyNumberFormat="1" applyFon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right"/>
    </xf>
    <xf numFmtId="1" fontId="2" fillId="0" borderId="1" xfId="0" applyNumberFormat="1" applyFont="1" applyBorder="1"/>
    <xf numFmtId="165" fontId="2" fillId="0" borderId="1" xfId="0" applyNumberFormat="1" applyFont="1" applyBorder="1"/>
    <xf numFmtId="43" fontId="2" fillId="0" borderId="1" xfId="1" applyFont="1" applyBorder="1" applyAlignment="1">
      <alignment horizontal="right"/>
    </xf>
    <xf numFmtId="43" fontId="0" fillId="0" borderId="1" xfId="0" applyNumberFormat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2" fillId="9" borderId="1" xfId="0" applyFont="1" applyFill="1" applyBorder="1"/>
    <xf numFmtId="164" fontId="0" fillId="0" borderId="1" xfId="0" applyNumberFormat="1" applyBorder="1"/>
    <xf numFmtId="1" fontId="0" fillId="0" borderId="1" xfId="0" applyNumberFormat="1" applyBorder="1"/>
    <xf numFmtId="1" fontId="0" fillId="0" borderId="1" xfId="0" applyNumberFormat="1" applyBorder="1" applyAlignme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3" fontId="0" fillId="0" borderId="1" xfId="0" applyNumberFormat="1" applyBorder="1" applyAlignment="1">
      <alignment vertical="center"/>
    </xf>
    <xf numFmtId="43" fontId="0" fillId="0" borderId="1" xfId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4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9" fontId="2" fillId="0" borderId="1" xfId="2" applyFont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3" fillId="0" borderId="2" xfId="0" applyFont="1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17" fontId="0" fillId="9" borderId="1" xfId="0" applyNumberFormat="1" applyFill="1" applyBorder="1" applyAlignment="1">
      <alignment horizontal="center" vertical="center"/>
    </xf>
    <xf numFmtId="4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11</xdr:col>
      <xdr:colOff>66675</xdr:colOff>
      <xdr:row>34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76500"/>
          <a:ext cx="7372350" cy="4152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8</xdr:col>
      <xdr:colOff>265975</xdr:colOff>
      <xdr:row>57</xdr:row>
      <xdr:rowOff>189976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858000"/>
          <a:ext cx="5800000" cy="41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9</xdr:col>
      <xdr:colOff>199234</xdr:colOff>
      <xdr:row>80</xdr:row>
      <xdr:rowOff>123309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239500"/>
          <a:ext cx="6323809" cy="41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K66" sqref="K66"/>
    </sheetView>
  </sheetViews>
  <sheetFormatPr defaultColWidth="8.85546875" defaultRowHeight="15" x14ac:dyDescent="0.25"/>
  <cols>
    <col min="1" max="1" width="21" bestFit="1" customWidth="1"/>
  </cols>
  <sheetData>
    <row r="1" spans="1:8" x14ac:dyDescent="0.25">
      <c r="A1" s="40" t="str">
        <f>+'Cost-Details'!A1</f>
        <v>Rotary Club of Narayangarh</v>
      </c>
      <c r="B1" s="40"/>
      <c r="C1" s="40"/>
      <c r="D1" s="40"/>
      <c r="E1" s="40"/>
      <c r="F1" s="40"/>
      <c r="G1" s="40"/>
      <c r="H1" s="40"/>
    </row>
    <row r="2" spans="1:8" x14ac:dyDescent="0.25">
      <c r="A2" s="40" t="str">
        <f>+'Cost-Details'!A2</f>
        <v>Indigenous Women-led Commercial Farming in Nepal</v>
      </c>
      <c r="B2" s="40"/>
      <c r="C2" s="40"/>
      <c r="D2" s="40"/>
      <c r="E2" s="40"/>
      <c r="F2" s="40"/>
      <c r="G2" s="40"/>
      <c r="H2" s="40"/>
    </row>
    <row r="3" spans="1:8" x14ac:dyDescent="0.25">
      <c r="A3" s="1" t="s">
        <v>46</v>
      </c>
      <c r="B3" s="1"/>
      <c r="C3" s="39" t="s">
        <v>47</v>
      </c>
      <c r="D3" s="39"/>
      <c r="E3" s="39"/>
      <c r="F3" s="39"/>
      <c r="G3" s="39"/>
      <c r="H3" s="1"/>
    </row>
    <row r="4" spans="1:8" x14ac:dyDescent="0.25">
      <c r="A4" s="1"/>
      <c r="B4" s="1" t="s">
        <v>48</v>
      </c>
      <c r="C4" s="1">
        <v>2021</v>
      </c>
      <c r="D4" s="1">
        <v>2022</v>
      </c>
      <c r="E4" s="1">
        <v>2023</v>
      </c>
      <c r="F4" s="1">
        <v>2024</v>
      </c>
      <c r="G4" s="1">
        <v>2025</v>
      </c>
      <c r="H4" s="1"/>
    </row>
    <row r="5" spans="1:8" x14ac:dyDescent="0.25">
      <c r="A5" s="1" t="s">
        <v>49</v>
      </c>
      <c r="B5" s="1">
        <v>4</v>
      </c>
      <c r="C5" s="23">
        <f>+B5*0.45</f>
        <v>1.8</v>
      </c>
      <c r="D5" s="23">
        <f>+B5*0.6</f>
        <v>2.4</v>
      </c>
      <c r="E5" s="23">
        <f>+B5*0.7</f>
        <v>2.8</v>
      </c>
      <c r="F5" s="23">
        <f>+B5*0.8</f>
        <v>3.2</v>
      </c>
      <c r="G5" s="23">
        <f>+B5*0.8</f>
        <v>3.2</v>
      </c>
      <c r="H5" s="1" t="s">
        <v>47</v>
      </c>
    </row>
    <row r="6" spans="1:8" x14ac:dyDescent="0.25">
      <c r="A6" s="1" t="s">
        <v>50</v>
      </c>
      <c r="B6" s="1">
        <v>10</v>
      </c>
      <c r="C6" s="24">
        <f>+B6*0.45</f>
        <v>4.5</v>
      </c>
      <c r="D6" s="24">
        <f>+B6*0.65</f>
        <v>6.5</v>
      </c>
      <c r="E6" s="1">
        <f>+B6*0.75</f>
        <v>7.5</v>
      </c>
      <c r="F6" s="24">
        <f>+B6*0.8</f>
        <v>8</v>
      </c>
      <c r="G6" s="24">
        <f>+B6*0.8</f>
        <v>8</v>
      </c>
      <c r="H6" s="1" t="s">
        <v>76</v>
      </c>
    </row>
    <row r="7" spans="1:8" x14ac:dyDescent="0.25">
      <c r="A7" s="1" t="s">
        <v>51</v>
      </c>
      <c r="B7" s="1">
        <v>1</v>
      </c>
      <c r="C7" s="25">
        <v>1</v>
      </c>
      <c r="D7" s="25">
        <v>1</v>
      </c>
      <c r="E7" s="25">
        <v>1</v>
      </c>
      <c r="F7" s="25">
        <v>1</v>
      </c>
      <c r="G7" s="25">
        <f>+F7</f>
        <v>1</v>
      </c>
      <c r="H7" s="1" t="s">
        <v>67</v>
      </c>
    </row>
    <row r="8" spans="1:8" x14ac:dyDescent="0.25">
      <c r="A8" s="1" t="s">
        <v>73</v>
      </c>
      <c r="B8" s="1">
        <v>20000</v>
      </c>
      <c r="C8" s="1">
        <f>+B8*1</f>
        <v>20000</v>
      </c>
      <c r="D8" s="1">
        <f>+B8*1</f>
        <v>20000</v>
      </c>
      <c r="E8" s="1">
        <f>+D8</f>
        <v>20000</v>
      </c>
      <c r="F8" s="1">
        <f t="shared" ref="F8:G8" si="0">+E8</f>
        <v>20000</v>
      </c>
      <c r="G8" s="1">
        <f t="shared" si="0"/>
        <v>20000</v>
      </c>
      <c r="H8" s="1" t="s">
        <v>14</v>
      </c>
    </row>
    <row r="9" spans="1:8" x14ac:dyDescent="0.25">
      <c r="A9" s="1" t="s">
        <v>78</v>
      </c>
      <c r="B9" s="1">
        <v>300</v>
      </c>
      <c r="C9" s="1">
        <v>300</v>
      </c>
      <c r="D9" s="1">
        <v>400</v>
      </c>
      <c r="E9" s="1">
        <v>500</v>
      </c>
      <c r="F9" s="1">
        <v>600</v>
      </c>
      <c r="G9" s="1">
        <v>700</v>
      </c>
      <c r="H9" s="1" t="s">
        <v>14</v>
      </c>
    </row>
    <row r="10" spans="1:8" x14ac:dyDescent="0.25">
      <c r="A10" s="1" t="s">
        <v>74</v>
      </c>
      <c r="B10" s="1">
        <v>50</v>
      </c>
      <c r="C10" s="1">
        <v>50</v>
      </c>
      <c r="D10" s="1">
        <v>50</v>
      </c>
      <c r="E10" s="1">
        <v>50</v>
      </c>
      <c r="F10" s="1">
        <v>50</v>
      </c>
      <c r="G10" s="1">
        <v>50</v>
      </c>
      <c r="H10" s="1" t="s">
        <v>14</v>
      </c>
    </row>
    <row r="11" spans="1:8" x14ac:dyDescent="0.25">
      <c r="A11" s="1" t="s">
        <v>75</v>
      </c>
      <c r="B11" s="1">
        <v>20</v>
      </c>
      <c r="C11" s="1">
        <v>20</v>
      </c>
      <c r="D11" s="1">
        <v>30</v>
      </c>
      <c r="E11" s="1">
        <v>40</v>
      </c>
      <c r="F11" s="1">
        <v>50</v>
      </c>
      <c r="G11" s="1">
        <v>60</v>
      </c>
      <c r="H11" s="1" t="s">
        <v>14</v>
      </c>
    </row>
    <row r="12" spans="1:8" x14ac:dyDescent="0.25">
      <c r="A12" s="1" t="s">
        <v>77</v>
      </c>
      <c r="B12" s="1">
        <v>500</v>
      </c>
      <c r="C12" s="1">
        <v>500</v>
      </c>
      <c r="D12" s="1">
        <v>600</v>
      </c>
      <c r="E12" s="1">
        <v>700</v>
      </c>
      <c r="F12" s="1">
        <v>800</v>
      </c>
      <c r="G12" s="1">
        <v>900</v>
      </c>
      <c r="H12" s="1" t="s">
        <v>14</v>
      </c>
    </row>
  </sheetData>
  <mergeCells count="3">
    <mergeCell ref="C3:G3"/>
    <mergeCell ref="A1:H1"/>
    <mergeCell ref="A2:H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28" workbookViewId="0">
      <selection activeCell="J40" sqref="J40"/>
    </sheetView>
  </sheetViews>
  <sheetFormatPr defaultRowHeight="15" x14ac:dyDescent="0.25"/>
  <cols>
    <col min="1" max="1" width="4" bestFit="1" customWidth="1"/>
    <col min="2" max="2" width="48.5703125" bestFit="1" customWidth="1"/>
    <col min="3" max="3" width="6.140625" bestFit="1" customWidth="1"/>
    <col min="4" max="4" width="6" bestFit="1" customWidth="1"/>
    <col min="5" max="5" width="10.5703125" bestFit="1" customWidth="1"/>
    <col min="6" max="6" width="13.85546875" bestFit="1" customWidth="1"/>
    <col min="7" max="7" width="13.7109375" bestFit="1" customWidth="1"/>
    <col min="8" max="8" width="23.140625" bestFit="1" customWidth="1"/>
    <col min="9" max="9" width="11.5703125" bestFit="1" customWidth="1"/>
  </cols>
  <sheetData>
    <row r="1" spans="1:10" x14ac:dyDescent="0.25">
      <c r="A1" s="41" t="s">
        <v>1</v>
      </c>
      <c r="B1" s="41"/>
      <c r="C1" s="41"/>
      <c r="D1" s="41"/>
      <c r="E1" s="41"/>
      <c r="F1" s="41"/>
      <c r="G1" s="41"/>
      <c r="H1" s="41"/>
    </row>
    <row r="2" spans="1:10" x14ac:dyDescent="0.25">
      <c r="A2" s="41" t="s">
        <v>0</v>
      </c>
      <c r="B2" s="41"/>
      <c r="C2" s="41"/>
      <c r="D2" s="41"/>
      <c r="E2" s="41"/>
      <c r="F2" s="41"/>
      <c r="G2" s="41"/>
      <c r="H2" s="41"/>
    </row>
    <row r="3" spans="1:10" x14ac:dyDescent="0.25">
      <c r="A3" s="22" t="s">
        <v>2</v>
      </c>
      <c r="B3" s="22" t="s">
        <v>3</v>
      </c>
      <c r="C3" s="22" t="s">
        <v>4</v>
      </c>
      <c r="D3" s="22" t="s">
        <v>5</v>
      </c>
      <c r="E3" s="22" t="s">
        <v>32</v>
      </c>
      <c r="F3" s="22" t="s">
        <v>7</v>
      </c>
      <c r="G3" s="22" t="s">
        <v>8</v>
      </c>
      <c r="H3" s="22" t="s">
        <v>9</v>
      </c>
    </row>
    <row r="4" spans="1:10" x14ac:dyDescent="0.25">
      <c r="A4" s="3">
        <v>1</v>
      </c>
      <c r="B4" s="3" t="s">
        <v>10</v>
      </c>
      <c r="C4" s="1"/>
      <c r="D4" s="1"/>
      <c r="E4" s="1"/>
      <c r="F4" s="1"/>
      <c r="G4" s="1"/>
      <c r="H4" s="1" t="s">
        <v>109</v>
      </c>
    </row>
    <row r="5" spans="1:10" x14ac:dyDescent="0.25">
      <c r="A5" s="2">
        <v>1.1000000000000001</v>
      </c>
      <c r="B5" s="2" t="s">
        <v>11</v>
      </c>
      <c r="C5" s="1" t="s">
        <v>12</v>
      </c>
      <c r="D5" s="1">
        <v>1</v>
      </c>
      <c r="E5" s="1">
        <v>500000</v>
      </c>
      <c r="F5" s="4">
        <f>+E5*D5</f>
        <v>500000</v>
      </c>
      <c r="G5" s="4">
        <f>+F5/121.95</f>
        <v>4100.041000410004</v>
      </c>
    </row>
    <row r="6" spans="1:10" x14ac:dyDescent="0.25">
      <c r="A6" s="2">
        <v>1.2</v>
      </c>
      <c r="B6" s="2" t="s">
        <v>13</v>
      </c>
      <c r="C6" s="1" t="s">
        <v>14</v>
      </c>
      <c r="D6" s="1">
        <v>20000</v>
      </c>
      <c r="E6" s="1">
        <v>5</v>
      </c>
      <c r="F6" s="4">
        <f t="shared" ref="F6:F26" si="0">+E6*D6</f>
        <v>100000</v>
      </c>
      <c r="G6" s="4">
        <f t="shared" ref="G6:G8" si="1">+F6/121.95</f>
        <v>820.00820008200083</v>
      </c>
      <c r="H6" s="1"/>
      <c r="I6" s="69"/>
    </row>
    <row r="7" spans="1:10" x14ac:dyDescent="0.25">
      <c r="A7" s="2">
        <v>1.3</v>
      </c>
      <c r="B7" s="2" t="s">
        <v>15</v>
      </c>
      <c r="C7" s="1" t="s">
        <v>16</v>
      </c>
      <c r="D7" s="1">
        <v>1</v>
      </c>
      <c r="E7" s="1">
        <v>800000</v>
      </c>
      <c r="F7" s="4">
        <f t="shared" si="0"/>
        <v>800000</v>
      </c>
      <c r="G7" s="4">
        <f t="shared" si="1"/>
        <v>6560.0656006560066</v>
      </c>
      <c r="H7" s="1"/>
    </row>
    <row r="8" spans="1:10" x14ac:dyDescent="0.25">
      <c r="A8" s="2">
        <v>1.4</v>
      </c>
      <c r="B8" s="2" t="s">
        <v>18</v>
      </c>
      <c r="C8" s="1" t="s">
        <v>16</v>
      </c>
      <c r="D8" s="1">
        <v>1</v>
      </c>
      <c r="E8" s="1">
        <v>350000</v>
      </c>
      <c r="F8" s="4">
        <f t="shared" ref="F8:F13" si="2">+E8*D8</f>
        <v>350000</v>
      </c>
      <c r="G8" s="4">
        <f t="shared" si="1"/>
        <v>2870.0287002870027</v>
      </c>
      <c r="H8" s="1"/>
    </row>
    <row r="9" spans="1:10" x14ac:dyDescent="0.25">
      <c r="A9" s="2"/>
      <c r="B9" s="42" t="s">
        <v>44</v>
      </c>
      <c r="C9" s="43"/>
      <c r="D9" s="43"/>
      <c r="E9" s="44"/>
      <c r="F9" s="6">
        <f>SUM(F5:F8)</f>
        <v>1750000</v>
      </c>
      <c r="G9" s="6">
        <f>SUM(G5:G8)</f>
        <v>14350.143501435014</v>
      </c>
      <c r="H9" s="1"/>
    </row>
    <row r="10" spans="1:10" x14ac:dyDescent="0.25">
      <c r="A10" s="3">
        <v>2</v>
      </c>
      <c r="B10" s="3" t="s">
        <v>17</v>
      </c>
      <c r="C10" s="1"/>
      <c r="D10" s="1"/>
      <c r="E10" s="1"/>
      <c r="F10" s="4"/>
      <c r="G10" s="4"/>
      <c r="H10" s="1"/>
    </row>
    <row r="11" spans="1:10" x14ac:dyDescent="0.25">
      <c r="A11" s="2">
        <v>2.1</v>
      </c>
      <c r="B11" s="5" t="s">
        <v>146</v>
      </c>
      <c r="C11" s="1" t="s">
        <v>14</v>
      </c>
      <c r="D11" s="1">
        <v>4</v>
      </c>
      <c r="E11" s="1">
        <v>500000</v>
      </c>
      <c r="F11" s="4">
        <f t="shared" si="2"/>
        <v>2000000</v>
      </c>
      <c r="G11" s="4">
        <f>+F11/121.95</f>
        <v>16400.164001640016</v>
      </c>
      <c r="H11" s="1"/>
    </row>
    <row r="12" spans="1:10" x14ac:dyDescent="0.25">
      <c r="A12" s="2">
        <v>2.2000000000000002</v>
      </c>
      <c r="B12" s="2" t="s">
        <v>41</v>
      </c>
      <c r="C12" s="1" t="s">
        <v>16</v>
      </c>
      <c r="D12" s="1">
        <v>4</v>
      </c>
      <c r="E12" s="1">
        <v>100000</v>
      </c>
      <c r="F12" s="4">
        <f t="shared" si="2"/>
        <v>400000</v>
      </c>
      <c r="G12" s="4">
        <f t="shared" ref="G12:G14" si="3">+F12/121.95</f>
        <v>3280.0328003280033</v>
      </c>
      <c r="H12" s="1"/>
    </row>
    <row r="13" spans="1:10" x14ac:dyDescent="0.25">
      <c r="A13" s="2">
        <v>2.2999999999999998</v>
      </c>
      <c r="B13" s="2" t="s">
        <v>147</v>
      </c>
      <c r="C13" s="1" t="s">
        <v>16</v>
      </c>
      <c r="D13" s="1">
        <v>4</v>
      </c>
      <c r="E13" s="1">
        <v>100000</v>
      </c>
      <c r="F13" s="4">
        <f t="shared" si="2"/>
        <v>400000</v>
      </c>
      <c r="G13" s="4">
        <f t="shared" si="3"/>
        <v>3280.0328003280033</v>
      </c>
      <c r="H13" s="1"/>
    </row>
    <row r="14" spans="1:10" x14ac:dyDescent="0.25">
      <c r="A14" s="2">
        <v>2.4</v>
      </c>
      <c r="B14" s="37" t="s">
        <v>145</v>
      </c>
      <c r="C14" s="1" t="s">
        <v>16</v>
      </c>
      <c r="D14" s="1">
        <v>4</v>
      </c>
      <c r="E14" s="38">
        <v>100000</v>
      </c>
      <c r="F14" s="4">
        <f t="shared" ref="F14" si="4">+E14*D14</f>
        <v>400000</v>
      </c>
      <c r="G14" s="4">
        <f t="shared" si="3"/>
        <v>3280.0328003280033</v>
      </c>
      <c r="H14" s="1"/>
      <c r="J14">
        <f>200*121.95</f>
        <v>24390</v>
      </c>
    </row>
    <row r="15" spans="1:10" x14ac:dyDescent="0.25">
      <c r="A15" s="2"/>
      <c r="B15" s="42" t="s">
        <v>44</v>
      </c>
      <c r="C15" s="43"/>
      <c r="D15" s="43"/>
      <c r="E15" s="44"/>
      <c r="F15" s="6">
        <f>SUM(F11:F14)</f>
        <v>3200000</v>
      </c>
      <c r="G15" s="6">
        <f>SUM(G11:G14)</f>
        <v>26240.26240262403</v>
      </c>
      <c r="H15" s="1"/>
    </row>
    <row r="16" spans="1:10" x14ac:dyDescent="0.25">
      <c r="A16" s="3">
        <v>3</v>
      </c>
      <c r="B16" s="3" t="s">
        <v>19</v>
      </c>
      <c r="C16" s="1"/>
      <c r="D16" s="1"/>
      <c r="E16" s="1"/>
      <c r="F16" s="4"/>
      <c r="G16" s="4"/>
      <c r="H16" s="1"/>
    </row>
    <row r="17" spans="1:9" x14ac:dyDescent="0.25">
      <c r="A17" s="2">
        <v>3.1</v>
      </c>
      <c r="B17" s="2" t="s">
        <v>20</v>
      </c>
      <c r="C17" s="1" t="s">
        <v>12</v>
      </c>
      <c r="D17" s="1">
        <v>1</v>
      </c>
      <c r="E17" s="1">
        <v>800000</v>
      </c>
      <c r="F17" s="4">
        <f t="shared" si="0"/>
        <v>800000</v>
      </c>
      <c r="G17" s="4">
        <f>+F17/121.95</f>
        <v>6560.0656006560066</v>
      </c>
      <c r="H17" s="1"/>
    </row>
    <row r="18" spans="1:9" x14ac:dyDescent="0.25">
      <c r="A18" s="2">
        <v>3.2</v>
      </c>
      <c r="B18" s="2" t="s">
        <v>79</v>
      </c>
      <c r="C18" s="1" t="s">
        <v>14</v>
      </c>
      <c r="D18" s="1">
        <v>20</v>
      </c>
      <c r="E18" s="1">
        <v>7500</v>
      </c>
      <c r="F18" s="4">
        <f t="shared" si="0"/>
        <v>150000</v>
      </c>
      <c r="G18" s="4">
        <f>+F18/121.95</f>
        <v>1230.0123001230013</v>
      </c>
      <c r="H18" s="1"/>
      <c r="I18" s="69"/>
    </row>
    <row r="19" spans="1:9" x14ac:dyDescent="0.25">
      <c r="A19" s="2"/>
      <c r="B19" s="42" t="s">
        <v>44</v>
      </c>
      <c r="C19" s="43"/>
      <c r="D19" s="43"/>
      <c r="E19" s="44"/>
      <c r="F19" s="6">
        <f>SUM(F17:F18)</f>
        <v>950000</v>
      </c>
      <c r="G19" s="6">
        <f>SUM(G17:G18)</f>
        <v>7790.0779007790079</v>
      </c>
      <c r="H19" s="1"/>
    </row>
    <row r="20" spans="1:9" x14ac:dyDescent="0.25">
      <c r="A20" s="3">
        <v>4</v>
      </c>
      <c r="B20" s="3" t="s">
        <v>21</v>
      </c>
      <c r="C20" s="1"/>
      <c r="D20" s="1"/>
      <c r="E20" s="1"/>
      <c r="F20" s="4"/>
      <c r="G20" s="4"/>
      <c r="H20" s="1"/>
    </row>
    <row r="21" spans="1:9" x14ac:dyDescent="0.25">
      <c r="A21" s="2">
        <v>4.0999999999999996</v>
      </c>
      <c r="B21" s="2" t="s">
        <v>22</v>
      </c>
      <c r="C21" s="1" t="s">
        <v>12</v>
      </c>
      <c r="D21" s="1">
        <v>1</v>
      </c>
      <c r="E21" s="1">
        <v>300000</v>
      </c>
      <c r="F21" s="4">
        <f t="shared" si="0"/>
        <v>300000</v>
      </c>
      <c r="G21" s="4">
        <f>+F21/121.95</f>
        <v>2460.0246002460026</v>
      </c>
      <c r="H21" s="1"/>
    </row>
    <row r="22" spans="1:9" x14ac:dyDescent="0.25">
      <c r="A22" s="2">
        <v>4.2</v>
      </c>
      <c r="B22" s="2" t="s">
        <v>23</v>
      </c>
      <c r="C22" s="1" t="s">
        <v>14</v>
      </c>
      <c r="D22" s="1">
        <v>300</v>
      </c>
      <c r="E22" s="1">
        <v>90</v>
      </c>
      <c r="F22" s="4">
        <f t="shared" si="0"/>
        <v>27000</v>
      </c>
      <c r="G22" s="4">
        <f>+F22/121.95</f>
        <v>221.40221402214021</v>
      </c>
      <c r="H22" s="1"/>
    </row>
    <row r="23" spans="1:9" x14ac:dyDescent="0.25">
      <c r="A23" s="2"/>
      <c r="B23" s="42" t="s">
        <v>44</v>
      </c>
      <c r="C23" s="43"/>
      <c r="D23" s="43"/>
      <c r="E23" s="44"/>
      <c r="F23" s="6">
        <f>SUM(F21:F22)</f>
        <v>327000</v>
      </c>
      <c r="G23" s="6">
        <f>SUM(G21:G22)</f>
        <v>2681.4268142681426</v>
      </c>
      <c r="H23" s="1"/>
    </row>
    <row r="24" spans="1:9" x14ac:dyDescent="0.25">
      <c r="A24" s="3">
        <v>5</v>
      </c>
      <c r="B24" s="3" t="s">
        <v>24</v>
      </c>
      <c r="C24" s="1"/>
      <c r="D24" s="1"/>
      <c r="E24" s="1"/>
      <c r="F24" s="4"/>
      <c r="G24" s="4"/>
      <c r="H24" s="1"/>
    </row>
    <row r="25" spans="1:9" x14ac:dyDescent="0.25">
      <c r="A25" s="2">
        <v>5.0999999999999996</v>
      </c>
      <c r="B25" s="2" t="s">
        <v>22</v>
      </c>
      <c r="C25" s="1" t="s">
        <v>12</v>
      </c>
      <c r="D25" s="1">
        <v>1</v>
      </c>
      <c r="E25" s="1">
        <v>200000</v>
      </c>
      <c r="F25" s="4">
        <f t="shared" si="0"/>
        <v>200000</v>
      </c>
      <c r="G25" s="4">
        <f>+F25/121.95</f>
        <v>1640.0164001640017</v>
      </c>
      <c r="H25" s="1"/>
    </row>
    <row r="26" spans="1:9" x14ac:dyDescent="0.25">
      <c r="A26" s="2">
        <v>5.2</v>
      </c>
      <c r="B26" s="2" t="s">
        <v>25</v>
      </c>
      <c r="C26" s="1" t="s">
        <v>14</v>
      </c>
      <c r="D26" s="1">
        <v>50</v>
      </c>
      <c r="E26" s="1">
        <v>1000</v>
      </c>
      <c r="F26" s="4">
        <f t="shared" si="0"/>
        <v>50000</v>
      </c>
      <c r="G26" s="4">
        <f t="shared" ref="G26:G27" si="5">+F26/121.95</f>
        <v>410.00410004100041</v>
      </c>
      <c r="H26" s="1"/>
    </row>
    <row r="27" spans="1:9" x14ac:dyDescent="0.25">
      <c r="A27" s="2"/>
      <c r="B27" s="42" t="s">
        <v>44</v>
      </c>
      <c r="C27" s="43"/>
      <c r="D27" s="43"/>
      <c r="E27" s="44"/>
      <c r="F27" s="6">
        <f>SUM(F25:F26)</f>
        <v>250000</v>
      </c>
      <c r="G27" s="6">
        <f>SUM(G25:G26)</f>
        <v>2050.020500205002</v>
      </c>
      <c r="H27" s="1"/>
    </row>
    <row r="28" spans="1:9" x14ac:dyDescent="0.25">
      <c r="A28" s="3">
        <v>6</v>
      </c>
      <c r="B28" s="3" t="s">
        <v>26</v>
      </c>
      <c r="C28" s="1"/>
      <c r="D28" s="1"/>
      <c r="E28" s="1"/>
      <c r="F28" s="1"/>
      <c r="G28" s="1"/>
      <c r="H28" s="1"/>
    </row>
    <row r="29" spans="1:9" x14ac:dyDescent="0.25">
      <c r="A29" s="2">
        <v>6.1</v>
      </c>
      <c r="B29" s="2" t="s">
        <v>28</v>
      </c>
      <c r="C29" s="1" t="s">
        <v>12</v>
      </c>
      <c r="D29" s="1">
        <v>1</v>
      </c>
      <c r="E29" s="1">
        <v>350000</v>
      </c>
      <c r="F29" s="4">
        <f t="shared" ref="F29" si="6">+E29*D29</f>
        <v>350000</v>
      </c>
      <c r="G29" s="4">
        <f>+F29/121.95</f>
        <v>2870.0287002870027</v>
      </c>
      <c r="H29" s="1"/>
    </row>
    <row r="30" spans="1:9" x14ac:dyDescent="0.25">
      <c r="A30" s="2">
        <v>6.2</v>
      </c>
      <c r="B30" s="2" t="s">
        <v>27</v>
      </c>
      <c r="C30" s="1" t="s">
        <v>14</v>
      </c>
      <c r="D30" s="1">
        <v>500</v>
      </c>
      <c r="E30" s="1">
        <v>300</v>
      </c>
      <c r="F30" s="4">
        <f t="shared" ref="F30" si="7">+E30*D30</f>
        <v>150000</v>
      </c>
      <c r="G30" s="4">
        <f t="shared" ref="G30:G31" si="8">+F30/121.95</f>
        <v>1230.0123001230013</v>
      </c>
      <c r="H30" s="1"/>
    </row>
    <row r="31" spans="1:9" x14ac:dyDescent="0.25">
      <c r="A31" s="2">
        <v>6.3</v>
      </c>
      <c r="B31" s="2" t="s">
        <v>80</v>
      </c>
      <c r="C31" s="1" t="s">
        <v>16</v>
      </c>
      <c r="D31" s="1">
        <v>1</v>
      </c>
      <c r="E31" s="1">
        <v>100000</v>
      </c>
      <c r="F31" s="4">
        <f t="shared" ref="F31" si="9">+E31*D31</f>
        <v>100000</v>
      </c>
      <c r="G31" s="4">
        <f t="shared" si="8"/>
        <v>820.00820008200083</v>
      </c>
      <c r="H31" s="1"/>
    </row>
    <row r="32" spans="1:9" x14ac:dyDescent="0.25">
      <c r="A32" s="2"/>
      <c r="B32" s="42" t="s">
        <v>44</v>
      </c>
      <c r="C32" s="43"/>
      <c r="D32" s="43"/>
      <c r="E32" s="44"/>
      <c r="F32" s="6">
        <f>SUM(F29:F31)</f>
        <v>600000</v>
      </c>
      <c r="G32" s="6">
        <f>SUM(G29:G31)</f>
        <v>4920.0492004920052</v>
      </c>
      <c r="H32" s="1"/>
    </row>
    <row r="33" spans="1:8" x14ac:dyDescent="0.25">
      <c r="A33" s="3">
        <v>7</v>
      </c>
      <c r="B33" s="3" t="s">
        <v>31</v>
      </c>
      <c r="C33" s="1"/>
      <c r="D33" s="1"/>
      <c r="E33" s="1"/>
      <c r="F33" s="4"/>
      <c r="G33" s="4"/>
      <c r="H33" s="1"/>
    </row>
    <row r="34" spans="1:8" x14ac:dyDescent="0.25">
      <c r="A34" s="2">
        <v>7.1</v>
      </c>
      <c r="B34" s="2" t="s">
        <v>33</v>
      </c>
      <c r="C34" s="1" t="s">
        <v>37</v>
      </c>
      <c r="D34" s="1">
        <v>1</v>
      </c>
      <c r="E34" s="1">
        <v>50000</v>
      </c>
      <c r="F34" s="4">
        <f>+E34*D34</f>
        <v>50000</v>
      </c>
      <c r="G34" s="4">
        <f>+F34/121.95</f>
        <v>410.00410004100041</v>
      </c>
      <c r="H34" s="1"/>
    </row>
    <row r="35" spans="1:8" x14ac:dyDescent="0.25">
      <c r="A35" s="2">
        <v>7.2</v>
      </c>
      <c r="B35" s="2" t="s">
        <v>34</v>
      </c>
      <c r="C35" s="1" t="s">
        <v>37</v>
      </c>
      <c r="D35" s="1">
        <v>1</v>
      </c>
      <c r="E35" s="1">
        <v>50000</v>
      </c>
      <c r="F35" s="4">
        <f t="shared" ref="F35:F37" si="10">+E35*D35</f>
        <v>50000</v>
      </c>
      <c r="G35" s="4">
        <f t="shared" ref="G35:G37" si="11">+F35/121.95</f>
        <v>410.00410004100041</v>
      </c>
      <c r="H35" s="1"/>
    </row>
    <row r="36" spans="1:8" x14ac:dyDescent="0.25">
      <c r="A36" s="2">
        <v>7.3</v>
      </c>
      <c r="B36" s="2" t="s">
        <v>35</v>
      </c>
      <c r="C36" s="1" t="s">
        <v>37</v>
      </c>
      <c r="D36" s="1">
        <v>1</v>
      </c>
      <c r="E36" s="1">
        <v>50000</v>
      </c>
      <c r="F36" s="4">
        <f t="shared" si="10"/>
        <v>50000</v>
      </c>
      <c r="G36" s="4">
        <f t="shared" si="11"/>
        <v>410.00410004100041</v>
      </c>
      <c r="H36" s="1"/>
    </row>
    <row r="37" spans="1:8" x14ac:dyDescent="0.25">
      <c r="A37" s="2">
        <v>7.4</v>
      </c>
      <c r="B37" s="2" t="s">
        <v>36</v>
      </c>
      <c r="C37" s="1" t="s">
        <v>37</v>
      </c>
      <c r="D37" s="1">
        <v>1</v>
      </c>
      <c r="E37" s="1">
        <v>50000</v>
      </c>
      <c r="F37" s="4">
        <f t="shared" si="10"/>
        <v>50000</v>
      </c>
      <c r="G37" s="4">
        <f t="shared" si="11"/>
        <v>410.00410004100041</v>
      </c>
      <c r="H37" s="1"/>
    </row>
    <row r="38" spans="1:8" x14ac:dyDescent="0.25">
      <c r="A38" s="2"/>
      <c r="B38" s="42" t="s">
        <v>44</v>
      </c>
      <c r="C38" s="43"/>
      <c r="D38" s="43"/>
      <c r="E38" s="44"/>
      <c r="F38" s="6">
        <f>SUM(F34:F37)</f>
        <v>200000</v>
      </c>
      <c r="G38" s="6">
        <f>SUM(G34:G37)</f>
        <v>1640.0164001640017</v>
      </c>
      <c r="H38" s="1"/>
    </row>
    <row r="39" spans="1:8" x14ac:dyDescent="0.25">
      <c r="A39" s="3">
        <v>8</v>
      </c>
      <c r="B39" s="3" t="s">
        <v>29</v>
      </c>
      <c r="C39" s="1"/>
      <c r="D39" s="1"/>
      <c r="E39" s="1"/>
      <c r="F39" s="4"/>
      <c r="G39" s="4"/>
      <c r="H39" s="1"/>
    </row>
    <row r="40" spans="1:8" x14ac:dyDescent="0.25">
      <c r="A40" s="2">
        <v>8.1</v>
      </c>
      <c r="B40" s="2" t="s">
        <v>42</v>
      </c>
      <c r="C40" s="1" t="s">
        <v>30</v>
      </c>
      <c r="D40" s="1">
        <v>13</v>
      </c>
      <c r="E40" s="1">
        <v>25000</v>
      </c>
      <c r="F40" s="4">
        <f t="shared" ref="F40:F43" si="12">+E40*D40</f>
        <v>325000</v>
      </c>
      <c r="G40" s="4">
        <f>+F40/121.95</f>
        <v>2665.0266502665027</v>
      </c>
      <c r="H40" s="1"/>
    </row>
    <row r="41" spans="1:8" x14ac:dyDescent="0.25">
      <c r="A41" s="2">
        <v>8.1999999999999993</v>
      </c>
      <c r="B41" s="2" t="s">
        <v>43</v>
      </c>
      <c r="C41" s="1" t="s">
        <v>30</v>
      </c>
      <c r="D41" s="1">
        <v>13</v>
      </c>
      <c r="E41" s="1">
        <v>25000</v>
      </c>
      <c r="F41" s="4">
        <f t="shared" si="12"/>
        <v>325000</v>
      </c>
      <c r="G41" s="4">
        <f t="shared" ref="G41:G43" si="13">+F41/121.95</f>
        <v>2665.0266502665027</v>
      </c>
      <c r="H41" s="1"/>
    </row>
    <row r="42" spans="1:8" x14ac:dyDescent="0.25">
      <c r="A42" s="2">
        <v>8.3000000000000007</v>
      </c>
      <c r="B42" s="2" t="s">
        <v>38</v>
      </c>
      <c r="C42" s="1" t="s">
        <v>39</v>
      </c>
      <c r="D42" s="1">
        <v>3</v>
      </c>
      <c r="E42" s="1">
        <v>20000</v>
      </c>
      <c r="F42" s="4">
        <f t="shared" si="12"/>
        <v>60000</v>
      </c>
      <c r="G42" s="4">
        <f t="shared" si="13"/>
        <v>492.00492004920051</v>
      </c>
      <c r="H42" s="1"/>
    </row>
    <row r="43" spans="1:8" x14ac:dyDescent="0.25">
      <c r="A43" s="2">
        <v>8.4</v>
      </c>
      <c r="B43" s="2" t="s">
        <v>40</v>
      </c>
      <c r="C43" s="1" t="s">
        <v>12</v>
      </c>
      <c r="D43" s="1">
        <v>1</v>
      </c>
      <c r="E43" s="1">
        <v>10000</v>
      </c>
      <c r="F43" s="4">
        <f t="shared" si="12"/>
        <v>10000</v>
      </c>
      <c r="G43" s="4">
        <f t="shared" si="13"/>
        <v>82.00082000820008</v>
      </c>
      <c r="H43" s="1"/>
    </row>
    <row r="44" spans="1:8" x14ac:dyDescent="0.25">
      <c r="A44" s="2"/>
      <c r="B44" s="42" t="s">
        <v>44</v>
      </c>
      <c r="C44" s="43"/>
      <c r="D44" s="43"/>
      <c r="E44" s="44"/>
      <c r="F44" s="6">
        <f>SUM(F40:F43)</f>
        <v>720000</v>
      </c>
      <c r="G44" s="6">
        <f>SUM(G40:G43)</f>
        <v>5904.0590405904059</v>
      </c>
      <c r="H44" s="1"/>
    </row>
    <row r="45" spans="1:8" x14ac:dyDescent="0.25">
      <c r="A45" s="1"/>
      <c r="B45" s="42" t="s">
        <v>45</v>
      </c>
      <c r="C45" s="43"/>
      <c r="D45" s="43"/>
      <c r="E45" s="44"/>
      <c r="F45" s="7">
        <f>+F44+F38+F32+F27+F23+F19+F15+F9</f>
        <v>7997000</v>
      </c>
      <c r="G45" s="7">
        <f>+G44+G38+G32+G27+G23+G19+G15+G9</f>
        <v>65576.055760557618</v>
      </c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</sheetData>
  <mergeCells count="11">
    <mergeCell ref="B45:E45"/>
    <mergeCell ref="B23:E23"/>
    <mergeCell ref="B27:E27"/>
    <mergeCell ref="B32:E32"/>
    <mergeCell ref="B38:E38"/>
    <mergeCell ref="B44:E44"/>
    <mergeCell ref="A1:H1"/>
    <mergeCell ref="A2:H2"/>
    <mergeCell ref="B9:E9"/>
    <mergeCell ref="B15:E15"/>
    <mergeCell ref="B19:E1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opLeftCell="A13" workbookViewId="0">
      <selection activeCell="E26" sqref="E26"/>
    </sheetView>
  </sheetViews>
  <sheetFormatPr defaultColWidth="8.85546875" defaultRowHeight="15" x14ac:dyDescent="0.25"/>
  <cols>
    <col min="1" max="1" width="4" style="1" bestFit="1" customWidth="1"/>
    <col min="2" max="2" width="45.7109375" style="1" bestFit="1" customWidth="1"/>
    <col min="3" max="3" width="5.85546875" style="1" bestFit="1" customWidth="1"/>
    <col min="4" max="4" width="10.42578125" style="1" bestFit="1" customWidth="1"/>
    <col min="5" max="5" width="10.140625" style="1" bestFit="1" customWidth="1"/>
    <col min="6" max="6" width="14" style="1" bestFit="1" customWidth="1"/>
    <col min="7" max="7" width="13.85546875" style="1" customWidth="1"/>
    <col min="8" max="8" width="10.42578125" style="1" bestFit="1" customWidth="1"/>
    <col min="9" max="10" width="13.85546875" style="1" customWidth="1"/>
    <col min="11" max="11" width="8" style="1" bestFit="1" customWidth="1"/>
    <col min="12" max="13" width="13.85546875" style="1" customWidth="1"/>
    <col min="14" max="14" width="9.5703125" style="1" bestFit="1" customWidth="1"/>
    <col min="15" max="15" width="8" style="1" bestFit="1" customWidth="1"/>
    <col min="16" max="17" width="13.85546875" style="1" customWidth="1"/>
    <col min="18" max="18" width="8" style="1" bestFit="1" customWidth="1"/>
    <col min="19" max="22" width="13.85546875" style="1" customWidth="1"/>
    <col min="23" max="16384" width="8.85546875" style="1"/>
  </cols>
  <sheetData>
    <row r="1" spans="1:22" x14ac:dyDescent="0.25">
      <c r="A1" s="45" t="str">
        <f>+'Cost-Details'!A1</f>
        <v>Rotary Club of Narayangarh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x14ac:dyDescent="0.25">
      <c r="A2" s="52" t="str">
        <f>+'Cost-Details'!A2</f>
        <v>Indigenous Women-led Commercial Farming in Nepal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4"/>
    </row>
    <row r="3" spans="1:22" x14ac:dyDescent="0.25">
      <c r="A3" s="45" t="s">
        <v>52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2" ht="12" customHeight="1" x14ac:dyDescent="0.25">
      <c r="C4" s="46" t="s">
        <v>68</v>
      </c>
      <c r="D4" s="46"/>
      <c r="E4" s="46"/>
      <c r="F4" s="46"/>
      <c r="G4" s="46"/>
      <c r="H4" s="47" t="s">
        <v>69</v>
      </c>
      <c r="I4" s="47"/>
      <c r="J4" s="47"/>
      <c r="K4" s="48" t="s">
        <v>70</v>
      </c>
      <c r="L4" s="48"/>
      <c r="M4" s="48"/>
      <c r="N4" s="49" t="s">
        <v>71</v>
      </c>
      <c r="O4" s="49"/>
      <c r="P4" s="49"/>
      <c r="Q4" s="49"/>
      <c r="R4" s="50" t="s">
        <v>72</v>
      </c>
      <c r="S4" s="50"/>
      <c r="T4" s="50"/>
      <c r="U4" s="51" t="s">
        <v>53</v>
      </c>
      <c r="V4" s="51"/>
    </row>
    <row r="5" spans="1:22" x14ac:dyDescent="0.25">
      <c r="A5" s="1" t="s">
        <v>2</v>
      </c>
      <c r="B5" s="1" t="s">
        <v>54</v>
      </c>
      <c r="C5" s="16" t="s">
        <v>4</v>
      </c>
      <c r="D5" s="16" t="s">
        <v>5</v>
      </c>
      <c r="E5" s="16" t="s">
        <v>55</v>
      </c>
      <c r="F5" s="16" t="s">
        <v>7</v>
      </c>
      <c r="G5" s="16" t="s">
        <v>8</v>
      </c>
      <c r="H5" s="18" t="s">
        <v>5</v>
      </c>
      <c r="I5" s="18" t="s">
        <v>7</v>
      </c>
      <c r="J5" s="18" t="s">
        <v>8</v>
      </c>
      <c r="K5" s="17" t="s">
        <v>5</v>
      </c>
      <c r="L5" s="17" t="s">
        <v>7</v>
      </c>
      <c r="M5" s="17" t="s">
        <v>8</v>
      </c>
      <c r="N5" s="19" t="s">
        <v>5</v>
      </c>
      <c r="O5" s="19" t="s">
        <v>6</v>
      </c>
      <c r="P5" s="19" t="s">
        <v>7</v>
      </c>
      <c r="Q5" s="19" t="s">
        <v>8</v>
      </c>
      <c r="R5" s="20" t="s">
        <v>5</v>
      </c>
      <c r="S5" s="20" t="s">
        <v>7</v>
      </c>
      <c r="T5" s="20" t="s">
        <v>8</v>
      </c>
      <c r="U5" s="21" t="s">
        <v>7</v>
      </c>
      <c r="V5" s="21" t="s">
        <v>8</v>
      </c>
    </row>
    <row r="6" spans="1:22" x14ac:dyDescent="0.25">
      <c r="A6" s="3">
        <v>1</v>
      </c>
      <c r="B6" s="3" t="s">
        <v>56</v>
      </c>
    </row>
    <row r="7" spans="1:22" x14ac:dyDescent="0.25">
      <c r="A7" s="1">
        <v>1.1000000000000001</v>
      </c>
      <c r="B7" s="1" t="s">
        <v>144</v>
      </c>
      <c r="C7" s="1" t="s">
        <v>57</v>
      </c>
      <c r="D7" s="1">
        <f>+Assumptions!C5*365</f>
        <v>657</v>
      </c>
      <c r="E7" s="8">
        <v>800</v>
      </c>
      <c r="F7" s="4">
        <f>+E7*D7</f>
        <v>525600</v>
      </c>
      <c r="G7" s="4">
        <f>+F7/119</f>
        <v>4416.8067226890753</v>
      </c>
      <c r="H7" s="9">
        <f>+Assumptions!D5*365</f>
        <v>876</v>
      </c>
      <c r="I7" s="4">
        <f t="shared" ref="I7:I12" si="0">+H7*E7</f>
        <v>700800</v>
      </c>
      <c r="J7" s="4">
        <f>+I7/119</f>
        <v>5889.0756302521013</v>
      </c>
      <c r="K7" s="9">
        <f>+Assumptions!E5*365</f>
        <v>1021.9999999999999</v>
      </c>
      <c r="L7" s="4">
        <f t="shared" ref="L7:L12" si="1">+K7*E7</f>
        <v>817599.99999999988</v>
      </c>
      <c r="M7" s="4">
        <f>+L7/119</f>
        <v>6870.5882352941171</v>
      </c>
      <c r="N7" s="9">
        <f>+Assumptions!F5*365</f>
        <v>1168</v>
      </c>
      <c r="O7" s="9">
        <f t="shared" ref="O7:O12" si="2">+E7*1.1</f>
        <v>880.00000000000011</v>
      </c>
      <c r="P7" s="4">
        <f t="shared" ref="P7:P12" si="3">+O7*N7</f>
        <v>1027840.0000000001</v>
      </c>
      <c r="Q7" s="4">
        <f>+P7/119</f>
        <v>8637.310924369749</v>
      </c>
      <c r="R7" s="9">
        <v>2336</v>
      </c>
      <c r="S7" s="4">
        <f t="shared" ref="S7:S12" si="4">+R7*O7</f>
        <v>2055680.0000000002</v>
      </c>
      <c r="T7" s="4">
        <f>+S7/119</f>
        <v>17274.621848739498</v>
      </c>
      <c r="U7" s="4">
        <f t="shared" ref="U7:U12" si="5">+S7+P7+L7+I7+F7</f>
        <v>5127520</v>
      </c>
      <c r="V7" s="4">
        <f>+U7/119</f>
        <v>43088.403361344535</v>
      </c>
    </row>
    <row r="8" spans="1:22" x14ac:dyDescent="0.25">
      <c r="A8" s="1">
        <v>1.2</v>
      </c>
      <c r="B8" s="1" t="s">
        <v>58</v>
      </c>
      <c r="C8" s="1" t="s">
        <v>59</v>
      </c>
      <c r="D8" s="1">
        <f>+Assumptions!C6*365</f>
        <v>1642.5</v>
      </c>
      <c r="E8" s="8">
        <v>100</v>
      </c>
      <c r="F8" s="4">
        <f t="shared" ref="F8:F15" si="6">+E8*D8</f>
        <v>164250</v>
      </c>
      <c r="G8" s="4">
        <f t="shared" ref="G8:G12" si="7">+F8/119</f>
        <v>1380.2521008403362</v>
      </c>
      <c r="H8" s="9">
        <f>+Assumptions!D6*365</f>
        <v>2372.5</v>
      </c>
      <c r="I8" s="4">
        <f t="shared" si="0"/>
        <v>237250</v>
      </c>
      <c r="J8" s="4">
        <f t="shared" ref="J8:J12" si="8">+I8/119</f>
        <v>1993.6974789915967</v>
      </c>
      <c r="K8" s="9">
        <f>+Assumptions!E6*365</f>
        <v>2737.5</v>
      </c>
      <c r="L8" s="4">
        <f t="shared" si="1"/>
        <v>273750</v>
      </c>
      <c r="M8" s="4">
        <f t="shared" ref="M8:M12" si="9">+L8/119</f>
        <v>2300.4201680672268</v>
      </c>
      <c r="N8" s="9">
        <f>+Assumptions!F6*365</f>
        <v>2920</v>
      </c>
      <c r="O8" s="9">
        <f t="shared" si="2"/>
        <v>110.00000000000001</v>
      </c>
      <c r="P8" s="4">
        <f t="shared" si="3"/>
        <v>321200.00000000006</v>
      </c>
      <c r="Q8" s="4">
        <f t="shared" ref="Q8:Q12" si="10">+P8/119</f>
        <v>2699.1596638655469</v>
      </c>
      <c r="R8" s="9">
        <v>9344</v>
      </c>
      <c r="S8" s="4">
        <f t="shared" si="4"/>
        <v>1027840.0000000001</v>
      </c>
      <c r="T8" s="4">
        <f t="shared" ref="T8:T12" si="11">+S8/119</f>
        <v>8637.310924369749</v>
      </c>
      <c r="U8" s="4">
        <f t="shared" si="5"/>
        <v>2024290.0000000002</v>
      </c>
      <c r="V8" s="4">
        <f t="shared" ref="V8:V12" si="12">+U8/119</f>
        <v>17010.840336134457</v>
      </c>
    </row>
    <row r="9" spans="1:22" x14ac:dyDescent="0.25">
      <c r="A9" s="1">
        <v>1.3</v>
      </c>
      <c r="B9" s="1" t="s">
        <v>60</v>
      </c>
      <c r="C9" s="1" t="s">
        <v>59</v>
      </c>
      <c r="D9" s="1">
        <f>+D8</f>
        <v>1642.5</v>
      </c>
      <c r="E9" s="8">
        <v>250</v>
      </c>
      <c r="F9" s="4">
        <f t="shared" si="6"/>
        <v>410625</v>
      </c>
      <c r="G9" s="4">
        <f t="shared" si="7"/>
        <v>3450.6302521008402</v>
      </c>
      <c r="H9" s="9">
        <f>+H8</f>
        <v>2372.5</v>
      </c>
      <c r="I9" s="4">
        <f t="shared" si="0"/>
        <v>593125</v>
      </c>
      <c r="J9" s="4">
        <f t="shared" si="8"/>
        <v>4984.2436974789916</v>
      </c>
      <c r="K9" s="9">
        <f>+K8</f>
        <v>2737.5</v>
      </c>
      <c r="L9" s="4">
        <f t="shared" si="1"/>
        <v>684375</v>
      </c>
      <c r="M9" s="4">
        <f t="shared" si="9"/>
        <v>5751.0504201680669</v>
      </c>
      <c r="N9" s="9">
        <v>9600</v>
      </c>
      <c r="O9" s="9">
        <f t="shared" si="2"/>
        <v>275</v>
      </c>
      <c r="P9" s="4">
        <f t="shared" si="3"/>
        <v>2640000</v>
      </c>
      <c r="Q9" s="4">
        <f t="shared" si="10"/>
        <v>22184.873949579833</v>
      </c>
      <c r="R9" s="9">
        <v>9600</v>
      </c>
      <c r="S9" s="4">
        <f t="shared" si="4"/>
        <v>2640000</v>
      </c>
      <c r="T9" s="4">
        <f t="shared" si="11"/>
        <v>22184.873949579833</v>
      </c>
      <c r="U9" s="4">
        <f t="shared" si="5"/>
        <v>6968125</v>
      </c>
      <c r="V9" s="4">
        <f t="shared" si="12"/>
        <v>58555.672268907561</v>
      </c>
    </row>
    <row r="10" spans="1:22" x14ac:dyDescent="0.25">
      <c r="A10" s="1">
        <v>1.4</v>
      </c>
      <c r="B10" s="1" t="s">
        <v>61</v>
      </c>
      <c r="C10" s="1" t="s">
        <v>59</v>
      </c>
      <c r="D10" s="1">
        <f>+D9</f>
        <v>1642.5</v>
      </c>
      <c r="E10" s="8">
        <v>250</v>
      </c>
      <c r="F10" s="4">
        <f t="shared" si="6"/>
        <v>410625</v>
      </c>
      <c r="G10" s="4">
        <f t="shared" si="7"/>
        <v>3450.6302521008402</v>
      </c>
      <c r="H10" s="9">
        <f>+H9</f>
        <v>2372.5</v>
      </c>
      <c r="I10" s="4">
        <f t="shared" si="0"/>
        <v>593125</v>
      </c>
      <c r="J10" s="4">
        <f t="shared" si="8"/>
        <v>4984.2436974789916</v>
      </c>
      <c r="K10" s="9">
        <f>+K9</f>
        <v>2737.5</v>
      </c>
      <c r="L10" s="4">
        <f t="shared" si="1"/>
        <v>684375</v>
      </c>
      <c r="M10" s="4">
        <f t="shared" si="9"/>
        <v>5751.0504201680669</v>
      </c>
      <c r="N10" s="9">
        <v>9600</v>
      </c>
      <c r="O10" s="9">
        <f t="shared" si="2"/>
        <v>275</v>
      </c>
      <c r="P10" s="4">
        <f t="shared" si="3"/>
        <v>2640000</v>
      </c>
      <c r="Q10" s="4">
        <f t="shared" si="10"/>
        <v>22184.873949579833</v>
      </c>
      <c r="R10" s="9">
        <v>9600</v>
      </c>
      <c r="S10" s="4">
        <f t="shared" si="4"/>
        <v>2640000</v>
      </c>
      <c r="T10" s="4">
        <f t="shared" si="11"/>
        <v>22184.873949579833</v>
      </c>
      <c r="U10" s="4">
        <f t="shared" si="5"/>
        <v>6968125</v>
      </c>
      <c r="V10" s="4">
        <f t="shared" si="12"/>
        <v>58555.672268907561</v>
      </c>
    </row>
    <row r="11" spans="1:22" x14ac:dyDescent="0.25">
      <c r="A11" s="1">
        <v>1.5</v>
      </c>
      <c r="B11" s="1" t="s">
        <v>62</v>
      </c>
      <c r="C11" s="1" t="s">
        <v>59</v>
      </c>
      <c r="D11" s="1">
        <f>+Assumptions!C6*250*0.25</f>
        <v>281.25</v>
      </c>
      <c r="E11" s="8">
        <v>500</v>
      </c>
      <c r="F11" s="4">
        <f t="shared" si="6"/>
        <v>140625</v>
      </c>
      <c r="G11" s="4">
        <f t="shared" si="7"/>
        <v>1181.7226890756303</v>
      </c>
      <c r="H11" s="9">
        <f>+Assumptions!D6*365*0.25</f>
        <v>593.125</v>
      </c>
      <c r="I11" s="4">
        <f t="shared" si="0"/>
        <v>296562.5</v>
      </c>
      <c r="J11" s="4">
        <f t="shared" si="8"/>
        <v>2492.1218487394958</v>
      </c>
      <c r="K11" s="9">
        <f>+Assumptions!E6*365*0.25</f>
        <v>684.375</v>
      </c>
      <c r="L11" s="4">
        <f t="shared" si="1"/>
        <v>342187.5</v>
      </c>
      <c r="M11" s="4">
        <f t="shared" si="9"/>
        <v>2875.5252100840335</v>
      </c>
      <c r="N11" s="9">
        <v>2400</v>
      </c>
      <c r="O11" s="9">
        <f t="shared" si="2"/>
        <v>550</v>
      </c>
      <c r="P11" s="4">
        <f t="shared" si="3"/>
        <v>1320000</v>
      </c>
      <c r="Q11" s="4">
        <f t="shared" si="10"/>
        <v>11092.436974789916</v>
      </c>
      <c r="R11" s="9">
        <v>2400</v>
      </c>
      <c r="S11" s="4">
        <f t="shared" si="4"/>
        <v>1320000</v>
      </c>
      <c r="T11" s="4">
        <f t="shared" si="11"/>
        <v>11092.436974789916</v>
      </c>
      <c r="U11" s="4">
        <f t="shared" si="5"/>
        <v>3419375</v>
      </c>
      <c r="V11" s="4">
        <f t="shared" si="12"/>
        <v>28734.243697478993</v>
      </c>
    </row>
    <row r="12" spans="1:22" ht="30" x14ac:dyDescent="0.25">
      <c r="A12" s="1">
        <v>1.6</v>
      </c>
      <c r="B12" s="10" t="s">
        <v>63</v>
      </c>
      <c r="C12" s="1" t="s">
        <v>59</v>
      </c>
      <c r="D12" s="1">
        <f>+Assumptions!C6*365*0.5</f>
        <v>821.25</v>
      </c>
      <c r="E12" s="8">
        <v>250</v>
      </c>
      <c r="F12" s="4">
        <f t="shared" si="6"/>
        <v>205312.5</v>
      </c>
      <c r="G12" s="4">
        <f t="shared" si="7"/>
        <v>1725.3151260504201</v>
      </c>
      <c r="H12" s="9">
        <f>+Assumptions!D6*365*0.7*0.5</f>
        <v>830.375</v>
      </c>
      <c r="I12" s="4">
        <f t="shared" si="0"/>
        <v>207593.75</v>
      </c>
      <c r="J12" s="4">
        <f t="shared" si="8"/>
        <v>1744.4852941176471</v>
      </c>
      <c r="K12" s="9">
        <f>+Assumptions!E6*365*0.75*0.5</f>
        <v>1026.5625</v>
      </c>
      <c r="L12" s="4">
        <f t="shared" si="1"/>
        <v>256640.625</v>
      </c>
      <c r="M12" s="4">
        <f t="shared" si="9"/>
        <v>2156.6439075630251</v>
      </c>
      <c r="N12" s="9">
        <v>4800</v>
      </c>
      <c r="O12" s="9">
        <f t="shared" si="2"/>
        <v>275</v>
      </c>
      <c r="P12" s="4">
        <f t="shared" si="3"/>
        <v>1320000</v>
      </c>
      <c r="Q12" s="4">
        <f t="shared" si="10"/>
        <v>11092.436974789916</v>
      </c>
      <c r="R12" s="9">
        <v>4800</v>
      </c>
      <c r="S12" s="4">
        <f t="shared" si="4"/>
        <v>1320000</v>
      </c>
      <c r="T12" s="4">
        <f t="shared" si="11"/>
        <v>11092.436974789916</v>
      </c>
      <c r="U12" s="4">
        <f t="shared" si="5"/>
        <v>3309546.875</v>
      </c>
      <c r="V12" s="4">
        <f t="shared" si="12"/>
        <v>27811.318277310926</v>
      </c>
    </row>
    <row r="13" spans="1:22" x14ac:dyDescent="0.25">
      <c r="B13" s="11" t="s">
        <v>64</v>
      </c>
      <c r="F13" s="6">
        <f>SUM(F7:F12)</f>
        <v>1857037.5</v>
      </c>
      <c r="G13" s="6">
        <f>SUM(G7:G12)</f>
        <v>15605.357142857143</v>
      </c>
      <c r="H13" s="6"/>
      <c r="I13" s="6">
        <f>SUM(I7:I12)</f>
        <v>2628456.25</v>
      </c>
      <c r="J13" s="6">
        <f>SUM(J7:J12)</f>
        <v>22087.867647058822</v>
      </c>
      <c r="K13" s="6"/>
      <c r="L13" s="6">
        <f>SUM(L7:L12)</f>
        <v>3058928.125</v>
      </c>
      <c r="M13" s="6">
        <f>SUM(M7:M12)</f>
        <v>25705.278361344539</v>
      </c>
      <c r="N13" s="6"/>
      <c r="O13" s="6"/>
      <c r="P13" s="6">
        <f>SUM(P7:P12)</f>
        <v>9269040</v>
      </c>
      <c r="Q13" s="6">
        <f>SUM(Q7:Q12)</f>
        <v>77891.092436974795</v>
      </c>
      <c r="R13" s="6"/>
      <c r="S13" s="6">
        <f t="shared" ref="S13:V13" si="13">SUM(S7:S12)</f>
        <v>11003520</v>
      </c>
      <c r="T13" s="6">
        <f t="shared" si="13"/>
        <v>92466.554621848758</v>
      </c>
      <c r="U13" s="6">
        <f t="shared" si="13"/>
        <v>27816981.875</v>
      </c>
      <c r="V13" s="6">
        <f t="shared" si="13"/>
        <v>233756.15021008404</v>
      </c>
    </row>
    <row r="14" spans="1:22" s="3" customFormat="1" x14ac:dyDescent="0.25">
      <c r="A14" s="3">
        <v>2</v>
      </c>
      <c r="B14" s="3" t="s">
        <v>10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5">
      <c r="A15" s="1">
        <v>2.1</v>
      </c>
      <c r="B15" s="1" t="s">
        <v>81</v>
      </c>
      <c r="C15" s="1" t="s">
        <v>65</v>
      </c>
      <c r="D15" s="1">
        <f>+Assumptions!C8</f>
        <v>20000</v>
      </c>
      <c r="E15" s="8">
        <v>300</v>
      </c>
      <c r="F15" s="4">
        <f t="shared" si="6"/>
        <v>6000000</v>
      </c>
      <c r="G15" s="4">
        <f>+F15/119</f>
        <v>50420.168067226892</v>
      </c>
      <c r="H15" s="1">
        <f>+Assumptions!D8</f>
        <v>20000</v>
      </c>
      <c r="I15" s="4">
        <f>+H15*E15</f>
        <v>6000000</v>
      </c>
      <c r="J15" s="4">
        <f>+I15/119</f>
        <v>50420.168067226892</v>
      </c>
      <c r="K15" s="1">
        <f>+Assumptions!E8</f>
        <v>20000</v>
      </c>
      <c r="L15" s="4">
        <f>+K15*E15</f>
        <v>6000000</v>
      </c>
      <c r="M15" s="4">
        <f>+L15/119</f>
        <v>50420.168067226892</v>
      </c>
      <c r="N15" s="1">
        <f>+Assumptions!F8</f>
        <v>20000</v>
      </c>
      <c r="O15" s="9">
        <f>+E15*1.1</f>
        <v>330</v>
      </c>
      <c r="P15" s="4">
        <f>+O15*N15</f>
        <v>6600000</v>
      </c>
      <c r="Q15" s="4">
        <f>+P15/119</f>
        <v>55462.184873949576</v>
      </c>
      <c r="R15" s="1">
        <f>+Assumptions!G8</f>
        <v>20000</v>
      </c>
      <c r="S15" s="4">
        <f>+R15*O15</f>
        <v>6600000</v>
      </c>
      <c r="T15" s="4">
        <f>+S15/119</f>
        <v>55462.184873949576</v>
      </c>
      <c r="U15" s="4">
        <f t="shared" ref="U15" si="14">+S15+P15+L15+I15+F15</f>
        <v>31200000</v>
      </c>
      <c r="V15" s="4">
        <f>+U15/119</f>
        <v>262184.87394957984</v>
      </c>
    </row>
    <row r="16" spans="1:22" s="3" customFormat="1" x14ac:dyDescent="0.25">
      <c r="B16" s="11" t="s">
        <v>64</v>
      </c>
      <c r="D16" s="12">
        <f>SUM(D15:D15)</f>
        <v>20000</v>
      </c>
      <c r="F16" s="7">
        <f t="shared" ref="F16:N16" si="15">SUM(F15:F15)</f>
        <v>6000000</v>
      </c>
      <c r="G16" s="7">
        <f t="shared" si="15"/>
        <v>50420.168067226892</v>
      </c>
      <c r="H16" s="13">
        <f t="shared" si="15"/>
        <v>20000</v>
      </c>
      <c r="I16" s="7">
        <f t="shared" si="15"/>
        <v>6000000</v>
      </c>
      <c r="J16" s="7">
        <f t="shared" si="15"/>
        <v>50420.168067226892</v>
      </c>
      <c r="K16" s="13">
        <f t="shared" si="15"/>
        <v>20000</v>
      </c>
      <c r="L16" s="7">
        <f t="shared" si="15"/>
        <v>6000000</v>
      </c>
      <c r="M16" s="7">
        <f t="shared" si="15"/>
        <v>50420.168067226892</v>
      </c>
      <c r="N16" s="13">
        <f t="shared" si="15"/>
        <v>20000</v>
      </c>
      <c r="O16" s="7"/>
      <c r="P16" s="7">
        <f t="shared" ref="P16:V16" si="16">SUM(P15:P15)</f>
        <v>6600000</v>
      </c>
      <c r="Q16" s="7">
        <f t="shared" si="16"/>
        <v>55462.184873949576</v>
      </c>
      <c r="R16" s="13">
        <f t="shared" si="16"/>
        <v>20000</v>
      </c>
      <c r="S16" s="7">
        <f t="shared" si="16"/>
        <v>6600000</v>
      </c>
      <c r="T16" s="7">
        <f t="shared" si="16"/>
        <v>55462.184873949576</v>
      </c>
      <c r="U16" s="7">
        <f t="shared" si="16"/>
        <v>31200000</v>
      </c>
      <c r="V16" s="7">
        <f t="shared" si="16"/>
        <v>262184.87394957984</v>
      </c>
    </row>
    <row r="17" spans="1:22" s="3" customFormat="1" x14ac:dyDescent="0.25">
      <c r="A17" s="3">
        <v>3</v>
      </c>
      <c r="B17" s="3" t="s">
        <v>19</v>
      </c>
    </row>
    <row r="18" spans="1:22" x14ac:dyDescent="0.25">
      <c r="A18" s="1">
        <v>3.1</v>
      </c>
      <c r="B18" s="10" t="s">
        <v>82</v>
      </c>
      <c r="C18" s="1" t="s">
        <v>65</v>
      </c>
      <c r="D18" s="1">
        <f>+Assumptions!C11*30</f>
        <v>600</v>
      </c>
      <c r="E18" s="8">
        <v>600</v>
      </c>
      <c r="F18" s="4">
        <f>+E18*D18</f>
        <v>360000</v>
      </c>
      <c r="G18" s="4">
        <f>+F18/119</f>
        <v>3025.2100840336134</v>
      </c>
      <c r="H18" s="1">
        <f>+Assumptions!D11*30</f>
        <v>900</v>
      </c>
      <c r="I18" s="4">
        <f>+E18*H18</f>
        <v>540000</v>
      </c>
      <c r="J18" s="4">
        <f>+I18/119</f>
        <v>4537.8151260504201</v>
      </c>
      <c r="K18" s="1">
        <f>+Assumptions!E11*30</f>
        <v>1200</v>
      </c>
      <c r="L18" s="4">
        <f>+K18*E18</f>
        <v>720000</v>
      </c>
      <c r="M18" s="4">
        <f>+L18/119</f>
        <v>6050.4201680672268</v>
      </c>
      <c r="N18" s="1">
        <f>+Assumptions!F11*30</f>
        <v>1500</v>
      </c>
      <c r="O18" s="1">
        <v>300</v>
      </c>
      <c r="P18" s="4">
        <f>+O18*N18</f>
        <v>450000</v>
      </c>
      <c r="Q18" s="4">
        <f>+P18/119</f>
        <v>3781.5126050420167</v>
      </c>
      <c r="R18" s="1">
        <f>+Assumptions!G11*30</f>
        <v>1800</v>
      </c>
      <c r="S18" s="4">
        <f>+O18*R18</f>
        <v>540000</v>
      </c>
      <c r="T18" s="4">
        <f>+S18/119</f>
        <v>4537.8151260504201</v>
      </c>
      <c r="U18" s="4">
        <f>+S18+P18+L18+I18+F18</f>
        <v>2610000</v>
      </c>
      <c r="V18" s="4">
        <f>+U18/119</f>
        <v>21932.773109243699</v>
      </c>
    </row>
    <row r="19" spans="1:22" s="3" customFormat="1" x14ac:dyDescent="0.25">
      <c r="B19" s="14" t="s">
        <v>64</v>
      </c>
      <c r="F19" s="7">
        <f>SUM(F18:F18)</f>
        <v>360000</v>
      </c>
      <c r="G19" s="7">
        <f>SUM(G18:G18)</f>
        <v>3025.2100840336134</v>
      </c>
      <c r="H19" s="7"/>
      <c r="I19" s="7">
        <f>SUM(I18:I18)</f>
        <v>540000</v>
      </c>
      <c r="J19" s="7">
        <f>SUM(J18:J18)</f>
        <v>4537.8151260504201</v>
      </c>
      <c r="K19" s="7"/>
      <c r="L19" s="7">
        <f>SUM(L18:L18)</f>
        <v>720000</v>
      </c>
      <c r="M19" s="7">
        <f>SUM(M18:M18)</f>
        <v>6050.4201680672268</v>
      </c>
      <c r="N19" s="7">
        <f>SUM(N18:N18)</f>
        <v>1500</v>
      </c>
      <c r="O19" s="7"/>
      <c r="P19" s="7">
        <f>SUM(P18:P18)</f>
        <v>450000</v>
      </c>
      <c r="Q19" s="7">
        <f>SUM(Q18:Q18)</f>
        <v>3781.5126050420167</v>
      </c>
      <c r="R19" s="7"/>
      <c r="S19" s="7">
        <f t="shared" ref="S19:V19" si="17">SUM(S18:S18)</f>
        <v>540000</v>
      </c>
      <c r="T19" s="7">
        <f t="shared" si="17"/>
        <v>4537.8151260504201</v>
      </c>
      <c r="U19" s="7">
        <f t="shared" si="17"/>
        <v>2610000</v>
      </c>
      <c r="V19" s="7">
        <f t="shared" si="17"/>
        <v>21932.773109243699</v>
      </c>
    </row>
    <row r="20" spans="1:22" s="3" customFormat="1" x14ac:dyDescent="0.25">
      <c r="A20" s="3">
        <v>4</v>
      </c>
      <c r="B20" s="3" t="s">
        <v>24</v>
      </c>
    </row>
    <row r="21" spans="1:22" x14ac:dyDescent="0.25">
      <c r="A21" s="1">
        <v>4.0999999999999996</v>
      </c>
      <c r="B21" s="1" t="s">
        <v>83</v>
      </c>
      <c r="C21" s="1" t="s">
        <v>65</v>
      </c>
      <c r="D21" s="1">
        <f>+Assumptions!C10*50</f>
        <v>2500</v>
      </c>
      <c r="E21" s="8">
        <v>300</v>
      </c>
      <c r="F21" s="4">
        <f>+E21*D21</f>
        <v>750000</v>
      </c>
      <c r="G21" s="4">
        <f>+F21/119</f>
        <v>6302.5210084033615</v>
      </c>
      <c r="H21" s="1">
        <f>+Assumptions!D10*50</f>
        <v>2500</v>
      </c>
      <c r="I21" s="4">
        <f>+H21*E21</f>
        <v>750000</v>
      </c>
      <c r="J21" s="4">
        <f>+I21/119</f>
        <v>6302.5210084033615</v>
      </c>
      <c r="K21" s="1">
        <f>+Assumptions!E10*50</f>
        <v>2500</v>
      </c>
      <c r="L21" s="4">
        <f>+K21*E21</f>
        <v>750000</v>
      </c>
      <c r="M21" s="4">
        <f>+L21/119</f>
        <v>6302.5210084033615</v>
      </c>
      <c r="N21" s="1">
        <f>+Assumptions!F10*50</f>
        <v>2500</v>
      </c>
      <c r="O21" s="1">
        <f>+E21*1.1</f>
        <v>330</v>
      </c>
      <c r="P21" s="4">
        <f>+O21*N21</f>
        <v>825000</v>
      </c>
      <c r="Q21" s="4">
        <f>+P21/119</f>
        <v>6932.773109243697</v>
      </c>
      <c r="R21" s="1">
        <f>+Assumptions!G10*50</f>
        <v>2500</v>
      </c>
      <c r="S21" s="4">
        <f>+R21*O21</f>
        <v>825000</v>
      </c>
      <c r="T21" s="4">
        <f>+S21/119</f>
        <v>6932.773109243697</v>
      </c>
      <c r="U21" s="4">
        <f>+S21+P21+L21+I21+F21</f>
        <v>3900000</v>
      </c>
      <c r="V21" s="4">
        <f>+U21/119</f>
        <v>32773.10924369748</v>
      </c>
    </row>
    <row r="22" spans="1:22" s="3" customFormat="1" x14ac:dyDescent="0.25">
      <c r="B22" s="14" t="s">
        <v>64</v>
      </c>
      <c r="F22" s="7">
        <f>SUM(F21:F21)</f>
        <v>750000</v>
      </c>
      <c r="G22" s="7">
        <f>SUM(G21:G21)</f>
        <v>6302.5210084033615</v>
      </c>
      <c r="H22" s="7"/>
      <c r="I22" s="7">
        <f>SUM(I21:I21)</f>
        <v>750000</v>
      </c>
      <c r="J22" s="7">
        <f>SUM(J21:J21)</f>
        <v>6302.5210084033615</v>
      </c>
      <c r="K22" s="7"/>
      <c r="L22" s="7">
        <f>SUM(L21:L21)</f>
        <v>750000</v>
      </c>
      <c r="M22" s="7">
        <f>SUM(M21:M21)</f>
        <v>6302.5210084033615</v>
      </c>
      <c r="N22" s="7"/>
      <c r="O22" s="7"/>
      <c r="P22" s="7">
        <f>SUM(P21:P21)</f>
        <v>825000</v>
      </c>
      <c r="Q22" s="7">
        <f>SUM(Q21:Q21)</f>
        <v>6932.773109243697</v>
      </c>
      <c r="R22" s="7"/>
      <c r="S22" s="7">
        <f>SUM(S21:S21)</f>
        <v>825000</v>
      </c>
      <c r="T22" s="7">
        <f>SUM(T21:T21)</f>
        <v>6932.773109243697</v>
      </c>
      <c r="U22" s="7">
        <f>SUM(U21:U21)</f>
        <v>3900000</v>
      </c>
      <c r="V22" s="7">
        <f>SUM(V21:V21)</f>
        <v>32773.10924369748</v>
      </c>
    </row>
    <row r="23" spans="1:22" s="3" customFormat="1" x14ac:dyDescent="0.25">
      <c r="A23" s="3">
        <v>5</v>
      </c>
      <c r="B23" s="3" t="s">
        <v>26</v>
      </c>
    </row>
    <row r="24" spans="1:22" x14ac:dyDescent="0.25">
      <c r="A24" s="1">
        <v>5.0999999999999996</v>
      </c>
      <c r="B24" s="1" t="s">
        <v>84</v>
      </c>
      <c r="C24" s="1" t="s">
        <v>65</v>
      </c>
      <c r="D24" s="1">
        <f>+Assumptions!C12*2</f>
        <v>1000</v>
      </c>
      <c r="E24" s="8">
        <v>500</v>
      </c>
      <c r="F24" s="4">
        <f>+E24*D24</f>
        <v>500000</v>
      </c>
      <c r="G24" s="4">
        <f>+F24/119</f>
        <v>4201.680672268908</v>
      </c>
      <c r="H24" s="1">
        <f>+Assumptions!D12*2</f>
        <v>1200</v>
      </c>
      <c r="I24" s="4">
        <f>+H24*E24</f>
        <v>600000</v>
      </c>
      <c r="J24" s="4">
        <f>+I24/119</f>
        <v>5042.0168067226887</v>
      </c>
      <c r="K24" s="1">
        <f>+Assumptions!E12*2</f>
        <v>1400</v>
      </c>
      <c r="L24" s="4">
        <f>+K24*E24</f>
        <v>700000</v>
      </c>
      <c r="M24" s="4">
        <f>+L24/119</f>
        <v>5882.3529411764703</v>
      </c>
      <c r="N24" s="1">
        <f>+Assumptions!F12*2</f>
        <v>1600</v>
      </c>
      <c r="O24" s="1">
        <f>+E24*1.1</f>
        <v>550</v>
      </c>
      <c r="P24" s="4">
        <f>+O24*N24</f>
        <v>880000</v>
      </c>
      <c r="Q24" s="4">
        <f>+P24/119</f>
        <v>7394.957983193277</v>
      </c>
      <c r="R24" s="1">
        <f>+Assumptions!G12*2</f>
        <v>1800</v>
      </c>
      <c r="S24" s="4">
        <f>+R24*O24</f>
        <v>990000</v>
      </c>
      <c r="T24" s="4">
        <f>+S24/119</f>
        <v>8319.3277310924368</v>
      </c>
      <c r="U24" s="4">
        <f>+S24+P24+L24+I24+F24</f>
        <v>3670000</v>
      </c>
      <c r="V24" s="4">
        <f>+U24/119</f>
        <v>30840.336134453781</v>
      </c>
    </row>
    <row r="25" spans="1:22" s="3" customFormat="1" x14ac:dyDescent="0.25">
      <c r="B25" s="14" t="s">
        <v>64</v>
      </c>
      <c r="F25" s="7">
        <f>SUM(F24:F24)</f>
        <v>500000</v>
      </c>
      <c r="G25" s="7">
        <f>SUM(G24:G24)</f>
        <v>4201.680672268908</v>
      </c>
      <c r="H25" s="7"/>
      <c r="I25" s="7">
        <f>SUM(I24:I24)</f>
        <v>600000</v>
      </c>
      <c r="J25" s="7">
        <f>SUM(J24:J24)</f>
        <v>5042.0168067226887</v>
      </c>
      <c r="K25" s="7"/>
      <c r="L25" s="7">
        <f>SUM(L24:L24)</f>
        <v>700000</v>
      </c>
      <c r="M25" s="7">
        <f>SUM(M24:M24)</f>
        <v>5882.3529411764703</v>
      </c>
      <c r="N25" s="7"/>
      <c r="O25" s="7"/>
      <c r="P25" s="7">
        <f>SUM(P24:P24)</f>
        <v>880000</v>
      </c>
      <c r="Q25" s="7">
        <f>SUM(Q24:Q24)</f>
        <v>7394.957983193277</v>
      </c>
      <c r="R25" s="7"/>
      <c r="S25" s="7">
        <f>SUM(S24:S24)</f>
        <v>990000</v>
      </c>
      <c r="T25" s="7">
        <f>SUM(T24:T24)</f>
        <v>8319.3277310924368</v>
      </c>
      <c r="U25" s="7">
        <f>SUM(U24:U24)</f>
        <v>3670000</v>
      </c>
      <c r="V25" s="7">
        <f>SUM(V24:V24)</f>
        <v>30840.336134453781</v>
      </c>
    </row>
    <row r="26" spans="1:22" s="3" customFormat="1" x14ac:dyDescent="0.25">
      <c r="A26" s="3">
        <v>6</v>
      </c>
      <c r="B26" s="3" t="s">
        <v>21</v>
      </c>
    </row>
    <row r="27" spans="1:22" x14ac:dyDescent="0.25">
      <c r="A27" s="1">
        <v>6.1</v>
      </c>
      <c r="B27" s="1" t="s">
        <v>85</v>
      </c>
      <c r="C27" s="1" t="s">
        <v>65</v>
      </c>
      <c r="D27" s="1">
        <f>+Assumptions!C9*1.5</f>
        <v>450</v>
      </c>
      <c r="E27" s="8">
        <v>500</v>
      </c>
      <c r="F27" s="4">
        <f>+E27*D27</f>
        <v>225000</v>
      </c>
      <c r="G27" s="4">
        <f>+F27/119</f>
        <v>1890.7563025210084</v>
      </c>
      <c r="H27" s="1">
        <f>+Assumptions!D9*1.5</f>
        <v>600</v>
      </c>
      <c r="I27" s="4">
        <f>+H27*E27</f>
        <v>300000</v>
      </c>
      <c r="J27" s="4">
        <f>+I27/119</f>
        <v>2521.0084033613443</v>
      </c>
      <c r="K27" s="1">
        <f>+Assumptions!E9*1.5</f>
        <v>750</v>
      </c>
      <c r="L27" s="4">
        <f>+K27*E27</f>
        <v>375000</v>
      </c>
      <c r="M27" s="4">
        <f>+L27/119</f>
        <v>3151.2605042016808</v>
      </c>
      <c r="N27" s="1">
        <f>+Assumptions!F9*1.5</f>
        <v>900</v>
      </c>
      <c r="O27" s="1">
        <f>+E27*1.1</f>
        <v>550</v>
      </c>
      <c r="P27" s="4">
        <f>+O27*N27</f>
        <v>495000</v>
      </c>
      <c r="Q27" s="4">
        <f>+P27/119</f>
        <v>4159.6638655462184</v>
      </c>
      <c r="R27" s="1">
        <f>+Assumptions!G9*1.5</f>
        <v>1050</v>
      </c>
      <c r="S27" s="4">
        <f>+R27*O27</f>
        <v>577500</v>
      </c>
      <c r="T27" s="4">
        <f>+S27/119</f>
        <v>4852.9411764705883</v>
      </c>
      <c r="U27" s="4">
        <f>+S27+P27+L27+I27+F27</f>
        <v>1972500</v>
      </c>
      <c r="V27" s="4">
        <f>+U27/119</f>
        <v>16575.63025210084</v>
      </c>
    </row>
    <row r="28" spans="1:22" s="3" customFormat="1" x14ac:dyDescent="0.25">
      <c r="B28" s="14" t="s">
        <v>64</v>
      </c>
      <c r="F28" s="7">
        <f>SUM(F27:F27)</f>
        <v>225000</v>
      </c>
      <c r="G28" s="7">
        <f>SUM(G27:G27)</f>
        <v>1890.7563025210084</v>
      </c>
      <c r="H28" s="7"/>
      <c r="I28" s="7">
        <f>SUM(I27:I27)</f>
        <v>300000</v>
      </c>
      <c r="J28" s="7">
        <f>SUM(J27:J27)</f>
        <v>2521.0084033613443</v>
      </c>
      <c r="K28" s="7"/>
      <c r="L28" s="7">
        <f>SUM(L27:L27)</f>
        <v>375000</v>
      </c>
      <c r="M28" s="7">
        <f>SUM(M27:M27)</f>
        <v>3151.2605042016808</v>
      </c>
      <c r="N28" s="7"/>
      <c r="O28" s="7"/>
      <c r="P28" s="7">
        <f>SUM(P27:P27)</f>
        <v>495000</v>
      </c>
      <c r="Q28" s="7">
        <f>SUM(Q27:Q27)</f>
        <v>4159.6638655462184</v>
      </c>
      <c r="R28" s="7"/>
      <c r="S28" s="7">
        <f>SUM(S27:S27)</f>
        <v>577500</v>
      </c>
      <c r="T28" s="7">
        <f>SUM(T27:T27)</f>
        <v>4852.9411764705883</v>
      </c>
      <c r="U28" s="7">
        <f>SUM(U27:U27)</f>
        <v>1972500</v>
      </c>
      <c r="V28" s="7">
        <f>SUM(V27:V27)</f>
        <v>16575.63025210084</v>
      </c>
    </row>
    <row r="29" spans="1:22" s="3" customFormat="1" x14ac:dyDescent="0.25">
      <c r="B29" s="11" t="s">
        <v>66</v>
      </c>
      <c r="F29" s="7">
        <f>+F28+F25+F22+F19+F16+F13</f>
        <v>9692037.5</v>
      </c>
      <c r="G29" s="7">
        <f>+G28+G25+G22+G19+G16+G13</f>
        <v>81445.693277310929</v>
      </c>
      <c r="H29" s="7"/>
      <c r="I29" s="7">
        <f>+I28+I25+I22+I19+I16+I13</f>
        <v>10818456.25</v>
      </c>
      <c r="J29" s="7">
        <f>+J28+J25+J22+J19+J16+J13</f>
        <v>90911.397058823524</v>
      </c>
      <c r="K29" s="7"/>
      <c r="L29" s="7">
        <f>+L28+L25+L22+L19+L16+L13</f>
        <v>11603928.125</v>
      </c>
      <c r="M29" s="7">
        <f>+M28+M25+M22+M19+M16+M13</f>
        <v>97512.001050420164</v>
      </c>
      <c r="N29" s="7"/>
      <c r="O29" s="7"/>
      <c r="P29" s="7">
        <f>+P28+P25+P22+P19+P16+P13</f>
        <v>18519040</v>
      </c>
      <c r="Q29" s="7">
        <f>+Q28+Q25+Q22+Q19+Q16+Q13</f>
        <v>155622.18487394956</v>
      </c>
      <c r="R29" s="7"/>
      <c r="S29" s="7">
        <f>+S28+S25+S22+S19+S16+S13</f>
        <v>20536020</v>
      </c>
      <c r="T29" s="7">
        <f>+T28+T25+T22+T19+T16+T13</f>
        <v>172571.59663865546</v>
      </c>
      <c r="U29" s="7">
        <f>+U28+U25+U22+U19+U16+U13</f>
        <v>71169481.875</v>
      </c>
      <c r="V29" s="7">
        <f>+V28+V25+V22+V19+V16+V13</f>
        <v>598062.87289915967</v>
      </c>
    </row>
    <row r="30" spans="1:22" x14ac:dyDescent="0.25">
      <c r="A30" s="3">
        <v>7</v>
      </c>
      <c r="B30" s="3" t="s">
        <v>86</v>
      </c>
    </row>
    <row r="31" spans="1:22" x14ac:dyDescent="0.25">
      <c r="A31" s="1">
        <v>7.1</v>
      </c>
      <c r="B31" s="1" t="s">
        <v>87</v>
      </c>
      <c r="C31" s="1" t="s">
        <v>65</v>
      </c>
      <c r="D31" s="1">
        <f>Assumptions!C8*0.1*365</f>
        <v>730000</v>
      </c>
      <c r="E31" s="8">
        <v>2</v>
      </c>
      <c r="F31" s="4">
        <f>+E31*D31</f>
        <v>1460000</v>
      </c>
      <c r="G31" s="4">
        <f>+F31/119</f>
        <v>12268.90756302521</v>
      </c>
      <c r="H31" s="1">
        <f>+Assumptions!D8*0.1*365</f>
        <v>730000</v>
      </c>
      <c r="I31" s="4">
        <f>+H31*E31</f>
        <v>1460000</v>
      </c>
      <c r="J31" s="4">
        <f>+I31/119</f>
        <v>12268.90756302521</v>
      </c>
      <c r="K31" s="1">
        <f>+Assumptions!E8*0.1*365</f>
        <v>730000</v>
      </c>
      <c r="L31" s="4">
        <f>+K31*E31</f>
        <v>1460000</v>
      </c>
      <c r="M31" s="4">
        <f>+L31/119</f>
        <v>12268.90756302521</v>
      </c>
      <c r="N31" s="1">
        <f>+Assumptions!F8*0.1*365</f>
        <v>730000</v>
      </c>
      <c r="O31" s="1">
        <f>+E31*1.1</f>
        <v>2.2000000000000002</v>
      </c>
      <c r="P31" s="4">
        <f>+O31*N31</f>
        <v>1606000.0000000002</v>
      </c>
      <c r="Q31" s="4">
        <f>+P31/119</f>
        <v>13495.798319327732</v>
      </c>
      <c r="R31" s="1">
        <f>+Assumptions!G8*0.1*365</f>
        <v>730000</v>
      </c>
      <c r="S31" s="4">
        <f>+R31*O31</f>
        <v>1606000.0000000002</v>
      </c>
      <c r="T31" s="4">
        <f>+S31/119</f>
        <v>13495.798319327732</v>
      </c>
      <c r="U31" s="15">
        <f>+S31+P31+L31+I31+F31</f>
        <v>7592000</v>
      </c>
      <c r="V31" s="15">
        <f>+T31+Q31+M31+J31+G31</f>
        <v>63798.3193277311</v>
      </c>
    </row>
    <row r="32" spans="1:22" x14ac:dyDescent="0.25">
      <c r="A32" s="1">
        <v>7.2</v>
      </c>
      <c r="B32" s="1" t="s">
        <v>88</v>
      </c>
      <c r="C32" s="1" t="s">
        <v>65</v>
      </c>
      <c r="D32" s="1">
        <f>+Assumptions!C9*0.25*365</f>
        <v>27375</v>
      </c>
      <c r="E32" s="8">
        <v>10</v>
      </c>
      <c r="F32" s="4">
        <f t="shared" ref="F32:F38" si="18">+E32*D32</f>
        <v>273750</v>
      </c>
      <c r="G32" s="4">
        <f t="shared" ref="G32:G40" si="19">+F32/119</f>
        <v>2300.4201680672268</v>
      </c>
      <c r="H32" s="1">
        <f>+Assumptions!D9*0.25*365</f>
        <v>36500</v>
      </c>
      <c r="I32" s="4">
        <f t="shared" ref="I32:I38" si="20">+H32*E32</f>
        <v>365000</v>
      </c>
      <c r="J32" s="4">
        <f t="shared" ref="J32:J38" si="21">+I32/119</f>
        <v>3067.2268907563025</v>
      </c>
      <c r="K32" s="1">
        <f>+Assumptions!E9*0.25*365</f>
        <v>45625</v>
      </c>
      <c r="L32" s="4">
        <f t="shared" ref="L32:L38" si="22">+K32*E32</f>
        <v>456250</v>
      </c>
      <c r="M32" s="4">
        <f t="shared" ref="M32:M38" si="23">+L32/119</f>
        <v>3834.0336134453783</v>
      </c>
      <c r="N32" s="1">
        <f>+Assumptions!F9*0.25*365</f>
        <v>54750</v>
      </c>
      <c r="O32" s="1">
        <f t="shared" ref="O32:O38" si="24">+E32*1.1</f>
        <v>11</v>
      </c>
      <c r="P32" s="4">
        <f t="shared" ref="P32:P38" si="25">+O32*N32</f>
        <v>602250</v>
      </c>
      <c r="Q32" s="4">
        <f t="shared" ref="Q32:Q38" si="26">+P32/119</f>
        <v>5060.9243697478987</v>
      </c>
      <c r="R32" s="1">
        <f>+Assumptions!G9*0.25*365</f>
        <v>63875</v>
      </c>
      <c r="S32" s="4">
        <f t="shared" ref="S32:S38" si="27">+R32*O32</f>
        <v>702625</v>
      </c>
      <c r="T32" s="4">
        <f t="shared" ref="T32:T38" si="28">+S32/119</f>
        <v>5904.411764705882</v>
      </c>
      <c r="U32" s="15">
        <f t="shared" ref="U32:U39" si="29">+S32+P32+L32+I32+F32</f>
        <v>2399875</v>
      </c>
      <c r="V32" s="15">
        <f t="shared" ref="V32:V39" si="30">+T32+Q32+M32+J32+G32</f>
        <v>20167.016806722688</v>
      </c>
    </row>
    <row r="33" spans="1:22" x14ac:dyDescent="0.25">
      <c r="A33" s="1">
        <v>7.3</v>
      </c>
      <c r="B33" s="1" t="s">
        <v>89</v>
      </c>
      <c r="C33" s="1" t="s">
        <v>65</v>
      </c>
      <c r="D33" s="1">
        <f>+Assumptions!C10*365*3</f>
        <v>54750</v>
      </c>
      <c r="E33" s="8">
        <v>2</v>
      </c>
      <c r="F33" s="4">
        <f t="shared" si="18"/>
        <v>109500</v>
      </c>
      <c r="G33" s="4">
        <f t="shared" si="19"/>
        <v>920.1680672268908</v>
      </c>
      <c r="H33" s="1">
        <f>+Assumptions!D10*365*3</f>
        <v>54750</v>
      </c>
      <c r="I33" s="4">
        <f t="shared" si="20"/>
        <v>109500</v>
      </c>
      <c r="J33" s="4">
        <f t="shared" si="21"/>
        <v>920.1680672268908</v>
      </c>
      <c r="K33" s="1">
        <f>+Assumptions!E10*365*3</f>
        <v>54750</v>
      </c>
      <c r="L33" s="4">
        <f t="shared" si="22"/>
        <v>109500</v>
      </c>
      <c r="M33" s="4">
        <f t="shared" si="23"/>
        <v>920.1680672268908</v>
      </c>
      <c r="N33" s="1">
        <f>+Assumptions!F10*365*3</f>
        <v>54750</v>
      </c>
      <c r="O33" s="1">
        <f t="shared" si="24"/>
        <v>2.2000000000000002</v>
      </c>
      <c r="P33" s="4">
        <f t="shared" si="25"/>
        <v>120450.00000000001</v>
      </c>
      <c r="Q33" s="4">
        <f t="shared" si="26"/>
        <v>1012.1848739495799</v>
      </c>
      <c r="R33" s="1">
        <f>+Assumptions!G10*365*3</f>
        <v>54750</v>
      </c>
      <c r="S33" s="4">
        <f t="shared" si="27"/>
        <v>120450.00000000001</v>
      </c>
      <c r="T33" s="4">
        <f t="shared" si="28"/>
        <v>1012.1848739495799</v>
      </c>
      <c r="U33" s="15">
        <f t="shared" si="29"/>
        <v>569400</v>
      </c>
      <c r="V33" s="15">
        <f t="shared" si="30"/>
        <v>4784.8739495798327</v>
      </c>
    </row>
    <row r="34" spans="1:22" x14ac:dyDescent="0.25">
      <c r="A34" s="1">
        <v>7.4</v>
      </c>
      <c r="B34" s="1" t="s">
        <v>90</v>
      </c>
      <c r="C34" s="1" t="s">
        <v>65</v>
      </c>
      <c r="D34" s="1">
        <f>+Assumptions!C12*0.35*365</f>
        <v>63875</v>
      </c>
      <c r="E34" s="8">
        <v>2</v>
      </c>
      <c r="F34" s="4">
        <f t="shared" si="18"/>
        <v>127750</v>
      </c>
      <c r="G34" s="4">
        <f t="shared" si="19"/>
        <v>1073.5294117647059</v>
      </c>
      <c r="H34" s="1">
        <f>+Assumptions!D12*0.35*365</f>
        <v>76650</v>
      </c>
      <c r="I34" s="4">
        <f t="shared" si="20"/>
        <v>153300</v>
      </c>
      <c r="J34" s="4">
        <f t="shared" si="21"/>
        <v>1288.2352941176471</v>
      </c>
      <c r="K34" s="1">
        <f>+Assumptions!E12*0.35*365</f>
        <v>89424.999999999985</v>
      </c>
      <c r="L34" s="4">
        <f t="shared" si="22"/>
        <v>178849.99999999997</v>
      </c>
      <c r="M34" s="4">
        <f t="shared" si="23"/>
        <v>1502.9411764705881</v>
      </c>
      <c r="N34" s="1">
        <f>+Assumptions!F12*0.35*365</f>
        <v>102200</v>
      </c>
      <c r="O34" s="1">
        <f t="shared" si="24"/>
        <v>2.2000000000000002</v>
      </c>
      <c r="P34" s="4">
        <f t="shared" si="25"/>
        <v>224840.00000000003</v>
      </c>
      <c r="Q34" s="4">
        <f t="shared" si="26"/>
        <v>1889.4117647058827</v>
      </c>
      <c r="R34" s="1">
        <f>+Assumptions!G12*0.35*365</f>
        <v>114975</v>
      </c>
      <c r="S34" s="4">
        <f t="shared" si="27"/>
        <v>252945.00000000003</v>
      </c>
      <c r="T34" s="4">
        <f t="shared" si="28"/>
        <v>2125.588235294118</v>
      </c>
      <c r="U34" s="15">
        <f t="shared" si="29"/>
        <v>937685</v>
      </c>
      <c r="V34" s="15">
        <f t="shared" si="30"/>
        <v>7879.7058823529424</v>
      </c>
    </row>
    <row r="35" spans="1:22" x14ac:dyDescent="0.25">
      <c r="A35" s="1">
        <v>7.5</v>
      </c>
      <c r="B35" s="1" t="s">
        <v>91</v>
      </c>
      <c r="C35" s="1" t="s">
        <v>65</v>
      </c>
      <c r="D35" s="1">
        <f>+Assumptions!C11*365*0.5</f>
        <v>3650</v>
      </c>
      <c r="E35" s="8">
        <v>10</v>
      </c>
      <c r="F35" s="4">
        <f t="shared" si="18"/>
        <v>36500</v>
      </c>
      <c r="G35" s="4">
        <f t="shared" si="19"/>
        <v>306.72268907563023</v>
      </c>
      <c r="H35" s="1">
        <f>+Assumptions!D11*365*0.5</f>
        <v>5475</v>
      </c>
      <c r="I35" s="4">
        <f t="shared" si="20"/>
        <v>54750</v>
      </c>
      <c r="J35" s="4">
        <f t="shared" si="21"/>
        <v>460.0840336134454</v>
      </c>
      <c r="K35" s="1">
        <f>+Assumptions!E11*365*0.5</f>
        <v>7300</v>
      </c>
      <c r="L35" s="4">
        <f t="shared" si="22"/>
        <v>73000</v>
      </c>
      <c r="M35" s="4">
        <f t="shared" si="23"/>
        <v>613.44537815126046</v>
      </c>
      <c r="N35" s="1">
        <f>+Assumptions!F11*365*0.5</f>
        <v>9125</v>
      </c>
      <c r="O35" s="1">
        <f t="shared" si="24"/>
        <v>11</v>
      </c>
      <c r="P35" s="4">
        <f t="shared" si="25"/>
        <v>100375</v>
      </c>
      <c r="Q35" s="4">
        <f t="shared" si="26"/>
        <v>843.48739495798316</v>
      </c>
      <c r="R35" s="1">
        <f>+Assumptions!G11*365*0.5</f>
        <v>10950</v>
      </c>
      <c r="S35" s="4">
        <f t="shared" si="27"/>
        <v>120450</v>
      </c>
      <c r="T35" s="4">
        <f t="shared" si="28"/>
        <v>1012.1848739495798</v>
      </c>
      <c r="U35" s="15">
        <f t="shared" si="29"/>
        <v>385075</v>
      </c>
      <c r="V35" s="15">
        <f t="shared" si="30"/>
        <v>3235.9243697478987</v>
      </c>
    </row>
    <row r="36" spans="1:22" x14ac:dyDescent="0.25">
      <c r="A36" s="1">
        <v>7.6</v>
      </c>
      <c r="B36" s="1" t="s">
        <v>92</v>
      </c>
      <c r="C36" s="1" t="s">
        <v>30</v>
      </c>
      <c r="D36" s="1">
        <v>26</v>
      </c>
      <c r="E36" s="8">
        <v>25000</v>
      </c>
      <c r="F36" s="4">
        <f t="shared" si="18"/>
        <v>650000</v>
      </c>
      <c r="G36" s="4">
        <f t="shared" si="19"/>
        <v>5462.1848739495799</v>
      </c>
      <c r="H36" s="1">
        <v>13</v>
      </c>
      <c r="I36" s="4">
        <f t="shared" si="20"/>
        <v>325000</v>
      </c>
      <c r="J36" s="4">
        <f t="shared" si="21"/>
        <v>2731.09243697479</v>
      </c>
      <c r="K36" s="1">
        <v>13</v>
      </c>
      <c r="L36" s="4">
        <f t="shared" si="22"/>
        <v>325000</v>
      </c>
      <c r="M36" s="4">
        <f t="shared" si="23"/>
        <v>2731.09243697479</v>
      </c>
      <c r="N36" s="1">
        <v>13</v>
      </c>
      <c r="O36" s="1">
        <f t="shared" si="24"/>
        <v>27500.000000000004</v>
      </c>
      <c r="P36" s="4">
        <f t="shared" si="25"/>
        <v>357500.00000000006</v>
      </c>
      <c r="Q36" s="4">
        <f t="shared" si="26"/>
        <v>3004.2016806722695</v>
      </c>
      <c r="R36" s="1">
        <v>13</v>
      </c>
      <c r="S36" s="4">
        <f t="shared" si="27"/>
        <v>357500.00000000006</v>
      </c>
      <c r="T36" s="4">
        <f t="shared" si="28"/>
        <v>3004.2016806722695</v>
      </c>
      <c r="U36" s="15">
        <f t="shared" si="29"/>
        <v>2015000</v>
      </c>
      <c r="V36" s="15">
        <f t="shared" si="30"/>
        <v>16932.773109243699</v>
      </c>
    </row>
    <row r="37" spans="1:22" x14ac:dyDescent="0.25">
      <c r="A37" s="1">
        <v>7.7</v>
      </c>
      <c r="B37" s="1" t="s">
        <v>93</v>
      </c>
      <c r="C37" s="1" t="s">
        <v>39</v>
      </c>
      <c r="D37" s="1">
        <v>10</v>
      </c>
      <c r="E37" s="8">
        <v>7000</v>
      </c>
      <c r="F37" s="4">
        <f t="shared" si="18"/>
        <v>70000</v>
      </c>
      <c r="G37" s="4">
        <f t="shared" si="19"/>
        <v>588.23529411764707</v>
      </c>
      <c r="H37" s="1">
        <v>10</v>
      </c>
      <c r="I37" s="4">
        <f t="shared" si="20"/>
        <v>70000</v>
      </c>
      <c r="J37" s="4">
        <f t="shared" si="21"/>
        <v>588.23529411764707</v>
      </c>
      <c r="K37" s="1">
        <v>10</v>
      </c>
      <c r="L37" s="4">
        <f t="shared" si="22"/>
        <v>70000</v>
      </c>
      <c r="M37" s="4">
        <f t="shared" si="23"/>
        <v>588.23529411764707</v>
      </c>
      <c r="N37" s="1">
        <v>10</v>
      </c>
      <c r="O37" s="1">
        <f t="shared" si="24"/>
        <v>7700.0000000000009</v>
      </c>
      <c r="P37" s="4">
        <f t="shared" si="25"/>
        <v>77000.000000000015</v>
      </c>
      <c r="Q37" s="4">
        <f t="shared" si="26"/>
        <v>647.05882352941194</v>
      </c>
      <c r="R37" s="1">
        <v>10</v>
      </c>
      <c r="S37" s="4">
        <f t="shared" si="27"/>
        <v>77000.000000000015</v>
      </c>
      <c r="T37" s="4">
        <f t="shared" si="28"/>
        <v>647.05882352941194</v>
      </c>
      <c r="U37" s="15">
        <f t="shared" si="29"/>
        <v>364000</v>
      </c>
      <c r="V37" s="15">
        <f t="shared" si="30"/>
        <v>3058.8235294117649</v>
      </c>
    </row>
    <row r="38" spans="1:22" x14ac:dyDescent="0.25">
      <c r="A38" s="1">
        <v>7.8</v>
      </c>
      <c r="B38" s="1" t="s">
        <v>94</v>
      </c>
      <c r="C38" s="1" t="s">
        <v>95</v>
      </c>
      <c r="D38" s="1">
        <v>1</v>
      </c>
      <c r="E38" s="8">
        <v>100000</v>
      </c>
      <c r="F38" s="4">
        <f t="shared" si="18"/>
        <v>100000</v>
      </c>
      <c r="G38" s="4">
        <f t="shared" si="19"/>
        <v>840.33613445378148</v>
      </c>
      <c r="H38" s="1">
        <v>1</v>
      </c>
      <c r="I38" s="4">
        <f t="shared" si="20"/>
        <v>100000</v>
      </c>
      <c r="J38" s="4">
        <f t="shared" si="21"/>
        <v>840.33613445378148</v>
      </c>
      <c r="K38" s="1">
        <v>1</v>
      </c>
      <c r="L38" s="4">
        <f t="shared" si="22"/>
        <v>100000</v>
      </c>
      <c r="M38" s="4">
        <f t="shared" si="23"/>
        <v>840.33613445378148</v>
      </c>
      <c r="N38" s="1">
        <v>1</v>
      </c>
      <c r="O38" s="1">
        <f t="shared" si="24"/>
        <v>110000.00000000001</v>
      </c>
      <c r="P38" s="4">
        <f t="shared" si="25"/>
        <v>110000.00000000001</v>
      </c>
      <c r="Q38" s="4">
        <f t="shared" si="26"/>
        <v>924.36974789915973</v>
      </c>
      <c r="R38" s="1">
        <v>1</v>
      </c>
      <c r="S38" s="4">
        <f t="shared" si="27"/>
        <v>110000.00000000001</v>
      </c>
      <c r="T38" s="4">
        <f t="shared" si="28"/>
        <v>924.36974789915973</v>
      </c>
      <c r="U38" s="15">
        <f t="shared" si="29"/>
        <v>520000</v>
      </c>
      <c r="V38" s="15">
        <f t="shared" si="30"/>
        <v>4369.7478991596636</v>
      </c>
    </row>
    <row r="39" spans="1:22" s="3" customFormat="1" x14ac:dyDescent="0.25">
      <c r="B39" s="11" t="s">
        <v>96</v>
      </c>
      <c r="F39" s="6">
        <f>SUM(F31:F38)</f>
        <v>2827500</v>
      </c>
      <c r="G39" s="6">
        <f t="shared" si="19"/>
        <v>23760.504201680673</v>
      </c>
      <c r="I39" s="6">
        <f>SUM(I31:I38)</f>
        <v>2637550</v>
      </c>
      <c r="J39" s="6">
        <f>SUM(J31:J38)</f>
        <v>22164.285714285717</v>
      </c>
      <c r="L39" s="6">
        <f>SUM(L31:L38)</f>
        <v>2772600</v>
      </c>
      <c r="M39" s="6">
        <f>SUM(M31:M38)</f>
        <v>23299.159663865546</v>
      </c>
      <c r="P39" s="6">
        <f>SUM(P31:P38)</f>
        <v>3198415</v>
      </c>
      <c r="Q39" s="6">
        <f>SUM(Q31:Q38)</f>
        <v>26877.436974789918</v>
      </c>
      <c r="S39" s="6">
        <f>SUM(S31:S38)</f>
        <v>3346970</v>
      </c>
      <c r="T39" s="6">
        <f>SUM(T31:T38)</f>
        <v>28125.798319327732</v>
      </c>
      <c r="U39" s="7">
        <f t="shared" si="29"/>
        <v>14783035</v>
      </c>
      <c r="V39" s="7">
        <f t="shared" si="30"/>
        <v>124227.18487394958</v>
      </c>
    </row>
    <row r="40" spans="1:22" x14ac:dyDescent="0.25">
      <c r="B40" s="11" t="s">
        <v>97</v>
      </c>
      <c r="F40" s="7">
        <f>+F29-F39</f>
        <v>6864537.5</v>
      </c>
      <c r="G40" s="6">
        <f t="shared" si="19"/>
        <v>57685.189075630253</v>
      </c>
      <c r="I40" s="6">
        <f>+I29-I39</f>
        <v>8180906.25</v>
      </c>
      <c r="J40" s="6">
        <f t="shared" ref="J40" si="31">+I40/119</f>
        <v>68747.111344537814</v>
      </c>
      <c r="K40" s="6"/>
      <c r="L40" s="6">
        <f>+L29-L39</f>
        <v>8831328.125</v>
      </c>
      <c r="M40" s="6">
        <f t="shared" ref="M40" si="32">+L40/119</f>
        <v>74212.841386554617</v>
      </c>
      <c r="N40" s="6"/>
      <c r="O40" s="6"/>
      <c r="P40" s="6">
        <f>+P29-P39</f>
        <v>15320625</v>
      </c>
      <c r="Q40" s="6">
        <f t="shared" ref="Q40" si="33">+P40/119</f>
        <v>128744.74789915966</v>
      </c>
      <c r="R40" s="6"/>
      <c r="S40" s="6">
        <f>+S29-S39</f>
        <v>17189050</v>
      </c>
      <c r="T40" s="6">
        <f t="shared" ref="T40" si="34">+S40/119</f>
        <v>144445.79831932773</v>
      </c>
      <c r="U40" s="6">
        <f>+U29-U39</f>
        <v>56386446.875</v>
      </c>
      <c r="V40" s="6">
        <f t="shared" ref="V40" si="35">+U40/119</f>
        <v>473835.68802521011</v>
      </c>
    </row>
  </sheetData>
  <mergeCells count="9">
    <mergeCell ref="A1:V1"/>
    <mergeCell ref="A3:V3"/>
    <mergeCell ref="C4:G4"/>
    <mergeCell ref="H4:J4"/>
    <mergeCell ref="K4:M4"/>
    <mergeCell ref="N4:Q4"/>
    <mergeCell ref="R4:T4"/>
    <mergeCell ref="U4:V4"/>
    <mergeCell ref="A2:V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G18" sqref="G18"/>
    </sheetView>
  </sheetViews>
  <sheetFormatPr defaultRowHeight="15" x14ac:dyDescent="0.25"/>
  <cols>
    <col min="1" max="1" width="3.42578125" style="26" bestFit="1" customWidth="1"/>
    <col min="2" max="2" width="27.140625" style="26" bestFit="1" customWidth="1"/>
    <col min="3" max="3" width="14.5703125" style="26" bestFit="1" customWidth="1"/>
    <col min="4" max="4" width="14.42578125" style="26" bestFit="1" customWidth="1"/>
    <col min="5" max="5" width="9.5703125" style="26" bestFit="1" customWidth="1"/>
    <col min="6" max="6" width="11.28515625" style="26" bestFit="1" customWidth="1"/>
    <col min="7" max="7" width="17" style="26" bestFit="1" customWidth="1"/>
    <col min="8" max="8" width="10.5703125" style="26" bestFit="1" customWidth="1"/>
    <col min="9" max="9" width="18.140625" style="26" bestFit="1" customWidth="1"/>
    <col min="10" max="16384" width="9.140625" style="26"/>
  </cols>
  <sheetData>
    <row r="1" spans="1:9" x14ac:dyDescent="0.25">
      <c r="A1" s="55" t="str">
        <f>+'Cost-Details'!A1</f>
        <v>Rotary Club of Narayangarh</v>
      </c>
      <c r="B1" s="55"/>
      <c r="C1" s="55"/>
      <c r="D1" s="55"/>
      <c r="E1" s="55"/>
      <c r="F1" s="55"/>
      <c r="G1" s="55"/>
      <c r="H1" s="55"/>
      <c r="I1" s="55"/>
    </row>
    <row r="2" spans="1:9" x14ac:dyDescent="0.25">
      <c r="A2" s="55" t="str">
        <f>+'Cost-Details'!A2</f>
        <v>Indigenous Women-led Commercial Farming in Nepal</v>
      </c>
      <c r="B2" s="55"/>
      <c r="C2" s="55"/>
      <c r="D2" s="55"/>
      <c r="E2" s="55"/>
      <c r="F2" s="55"/>
      <c r="G2" s="55"/>
      <c r="H2" s="55"/>
      <c r="I2" s="55"/>
    </row>
    <row r="3" spans="1:9" x14ac:dyDescent="0.25">
      <c r="A3" s="55" t="s">
        <v>104</v>
      </c>
      <c r="B3" s="55"/>
      <c r="C3" s="55"/>
      <c r="D3" s="55"/>
      <c r="E3" s="55"/>
      <c r="F3" s="55"/>
      <c r="G3" s="55"/>
      <c r="H3" s="55"/>
      <c r="I3" s="55"/>
    </row>
    <row r="4" spans="1:9" x14ac:dyDescent="0.25">
      <c r="A4" s="56" t="s">
        <v>2</v>
      </c>
      <c r="B4" s="56" t="s">
        <v>98</v>
      </c>
      <c r="C4" s="56" t="s">
        <v>99</v>
      </c>
      <c r="D4" s="56" t="s">
        <v>100</v>
      </c>
      <c r="E4" s="58" t="s">
        <v>110</v>
      </c>
      <c r="F4" s="59"/>
      <c r="G4" s="59"/>
      <c r="H4" s="60"/>
      <c r="I4" s="56" t="s">
        <v>9</v>
      </c>
    </row>
    <row r="5" spans="1:9" x14ac:dyDescent="0.25">
      <c r="A5" s="57"/>
      <c r="B5" s="57"/>
      <c r="C5" s="57"/>
      <c r="D5" s="57"/>
      <c r="E5" s="34" t="s">
        <v>101</v>
      </c>
      <c r="F5" s="34" t="s">
        <v>102</v>
      </c>
      <c r="G5" s="34" t="s">
        <v>103</v>
      </c>
      <c r="H5" s="34" t="s">
        <v>105</v>
      </c>
      <c r="I5" s="57"/>
    </row>
    <row r="6" spans="1:9" x14ac:dyDescent="0.25">
      <c r="A6" s="27">
        <v>1</v>
      </c>
      <c r="B6" s="27" t="str">
        <f>+'Cost-Details'!B4</f>
        <v>Fish Farming</v>
      </c>
      <c r="C6" s="28">
        <f>+'Cost-Details'!F9</f>
        <v>1750000</v>
      </c>
      <c r="D6" s="28">
        <f>+'Cost-Details'!G9</f>
        <v>14350.143501435014</v>
      </c>
      <c r="E6" s="27"/>
      <c r="F6" s="27"/>
      <c r="G6" s="29">
        <f>1100000/121.95</f>
        <v>9020.0902009020083</v>
      </c>
      <c r="H6" s="28">
        <f>+D6-G6</f>
        <v>5330.0533005330053</v>
      </c>
      <c r="I6" s="27"/>
    </row>
    <row r="7" spans="1:9" x14ac:dyDescent="0.25">
      <c r="A7" s="27">
        <v>2</v>
      </c>
      <c r="B7" s="27" t="str">
        <f>+'Cost-Details'!B10</f>
        <v>Eco-tourism</v>
      </c>
      <c r="C7" s="28">
        <f>+'Cost-Details'!F15</f>
        <v>3200000</v>
      </c>
      <c r="D7" s="28">
        <f>+'Cost-Details'!G15</f>
        <v>26240.26240262403</v>
      </c>
      <c r="E7" s="27"/>
      <c r="F7" s="29">
        <f>+D7*0.2</f>
        <v>5248.052480524806</v>
      </c>
      <c r="G7" s="27"/>
      <c r="H7" s="28">
        <f>+D7-F7</f>
        <v>20992.209922099224</v>
      </c>
      <c r="I7" s="27" t="s">
        <v>108</v>
      </c>
    </row>
    <row r="8" spans="1:9" x14ac:dyDescent="0.25">
      <c r="A8" s="27">
        <v>3</v>
      </c>
      <c r="B8" s="27" t="str">
        <f>+'Cost-Details'!B16</f>
        <v>Goat Farming</v>
      </c>
      <c r="C8" s="28">
        <f>+'Cost-Details'!F19</f>
        <v>950000</v>
      </c>
      <c r="D8" s="28">
        <f>+'Cost-Details'!G19</f>
        <v>7790.0779007790079</v>
      </c>
      <c r="E8" s="27"/>
      <c r="F8" s="27"/>
      <c r="G8" s="27"/>
      <c r="H8" s="28">
        <f>+D8</f>
        <v>7790.0779007790079</v>
      </c>
      <c r="I8" s="27"/>
    </row>
    <row r="9" spans="1:9" x14ac:dyDescent="0.25">
      <c r="A9" s="27">
        <v>4</v>
      </c>
      <c r="B9" s="27" t="str">
        <f>+'Cost-Details'!B20</f>
        <v>Poultry Farming</v>
      </c>
      <c r="C9" s="28">
        <f>+'Cost-Details'!F23</f>
        <v>327000</v>
      </c>
      <c r="D9" s="28">
        <f>+'Cost-Details'!G23</f>
        <v>2681.4268142681426</v>
      </c>
      <c r="E9" s="27"/>
      <c r="F9" s="27"/>
      <c r="G9" s="27"/>
      <c r="H9" s="28">
        <f t="shared" ref="H9:H11" si="0">+D9</f>
        <v>2681.4268142681426</v>
      </c>
      <c r="I9" s="27"/>
    </row>
    <row r="10" spans="1:9" x14ac:dyDescent="0.25">
      <c r="A10" s="27">
        <v>5</v>
      </c>
      <c r="B10" s="27" t="str">
        <f>+'Cost-Details'!B24</f>
        <v>Pig Farming</v>
      </c>
      <c r="C10" s="28">
        <f>+'Cost-Details'!F27</f>
        <v>250000</v>
      </c>
      <c r="D10" s="28">
        <f>+'Cost-Details'!G27</f>
        <v>2050.020500205002</v>
      </c>
      <c r="E10" s="27"/>
      <c r="F10" s="27"/>
      <c r="G10" s="27"/>
      <c r="H10" s="28">
        <f t="shared" si="0"/>
        <v>2050.020500205002</v>
      </c>
      <c r="I10" s="27"/>
    </row>
    <row r="11" spans="1:9" x14ac:dyDescent="0.25">
      <c r="A11" s="27">
        <v>6</v>
      </c>
      <c r="B11" s="27" t="str">
        <f>+'Cost-Details'!B28</f>
        <v>Duck Farming</v>
      </c>
      <c r="C11" s="28">
        <f>+'Cost-Details'!F32</f>
        <v>600000</v>
      </c>
      <c r="D11" s="28">
        <f>+'Cost-Details'!G32</f>
        <v>4920.0492004920052</v>
      </c>
      <c r="E11" s="27"/>
      <c r="F11" s="27"/>
      <c r="G11" s="27"/>
      <c r="H11" s="28">
        <f t="shared" si="0"/>
        <v>4920.0492004920052</v>
      </c>
      <c r="I11" s="27"/>
    </row>
    <row r="12" spans="1:9" x14ac:dyDescent="0.25">
      <c r="A12" s="27">
        <v>7</v>
      </c>
      <c r="B12" s="27" t="str">
        <f>+'Cost-Details'!B33</f>
        <v>Capacity Building</v>
      </c>
      <c r="C12" s="28">
        <f>+'Cost-Details'!F38</f>
        <v>200000</v>
      </c>
      <c r="D12" s="28">
        <f>+'Cost-Details'!G38</f>
        <v>1640.0164001640017</v>
      </c>
      <c r="E12" s="28">
        <f>+D12</f>
        <v>1640.0164001640017</v>
      </c>
      <c r="F12" s="27"/>
      <c r="G12" s="27"/>
      <c r="H12" s="28">
        <f>+D12-E12</f>
        <v>0</v>
      </c>
      <c r="I12" s="27"/>
    </row>
    <row r="13" spans="1:9" x14ac:dyDescent="0.25">
      <c r="A13" s="27">
        <v>8</v>
      </c>
      <c r="B13" s="27" t="str">
        <f>+'Cost-Details'!B39</f>
        <v>Management Cost</v>
      </c>
      <c r="C13" s="28">
        <f>+'Cost-Details'!F44</f>
        <v>720000</v>
      </c>
      <c r="D13" s="28">
        <f>+'Cost-Details'!G44</f>
        <v>5904.0590405904059</v>
      </c>
      <c r="E13" s="29"/>
      <c r="F13" s="27"/>
      <c r="G13" s="27"/>
      <c r="H13" s="28">
        <f>+D13-E13</f>
        <v>5904.0590405904059</v>
      </c>
      <c r="I13" s="27"/>
    </row>
    <row r="14" spans="1:9" x14ac:dyDescent="0.25">
      <c r="A14" s="27"/>
      <c r="B14" s="30" t="s">
        <v>106</v>
      </c>
      <c r="C14" s="31">
        <f>SUM(C6:C13)</f>
        <v>7997000</v>
      </c>
      <c r="D14" s="31">
        <f t="shared" ref="D14:H14" si="1">SUM(D6:D13)</f>
        <v>65576.055760557589</v>
      </c>
      <c r="E14" s="31">
        <f t="shared" si="1"/>
        <v>1640.0164001640017</v>
      </c>
      <c r="F14" s="31">
        <f t="shared" si="1"/>
        <v>5248.052480524806</v>
      </c>
      <c r="G14" s="31">
        <f t="shared" si="1"/>
        <v>9020.0902009020083</v>
      </c>
      <c r="H14" s="31">
        <f t="shared" si="1"/>
        <v>49667.89667896679</v>
      </c>
      <c r="I14" s="27"/>
    </row>
    <row r="15" spans="1:9" x14ac:dyDescent="0.25">
      <c r="A15" s="27"/>
      <c r="B15" s="30" t="s">
        <v>107</v>
      </c>
      <c r="C15" s="32"/>
      <c r="D15" s="33">
        <f>+D14/D14</f>
        <v>1</v>
      </c>
      <c r="E15" s="33">
        <f>+E14/D14</f>
        <v>2.5009378516943861E-2</v>
      </c>
      <c r="F15" s="33">
        <f>+F14/D14</f>
        <v>8.0030011254220365E-2</v>
      </c>
      <c r="G15" s="33">
        <f>+G14/D14</f>
        <v>0.13755158184319122</v>
      </c>
      <c r="H15" s="33">
        <f>+H14/D14</f>
        <v>0.75740902838564483</v>
      </c>
      <c r="I15" s="27"/>
    </row>
    <row r="16" spans="1:9" x14ac:dyDescent="0.25">
      <c r="A16" s="27"/>
      <c r="B16" s="27"/>
      <c r="C16" s="27"/>
      <c r="D16" s="27"/>
      <c r="E16" s="27"/>
      <c r="F16" s="27"/>
      <c r="G16" s="27"/>
      <c r="H16" s="27"/>
      <c r="I16" s="27"/>
    </row>
    <row r="17" spans="1:9" x14ac:dyDescent="0.25">
      <c r="A17" s="27"/>
      <c r="B17" s="27"/>
      <c r="C17" s="27"/>
      <c r="D17" s="27"/>
      <c r="E17" s="27"/>
      <c r="F17" s="27"/>
      <c r="G17" s="27"/>
      <c r="H17" s="27"/>
      <c r="I17" s="27"/>
    </row>
    <row r="18" spans="1:9" x14ac:dyDescent="0.25">
      <c r="A18" s="27"/>
      <c r="B18" s="27"/>
      <c r="C18" s="27"/>
      <c r="D18" s="27"/>
      <c r="E18" s="27"/>
      <c r="F18" s="27"/>
      <c r="G18" s="27"/>
      <c r="H18" s="27"/>
      <c r="I18" s="27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H4"/>
    <mergeCell ref="I4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workbookViewId="0">
      <selection activeCell="B9" sqref="B9"/>
    </sheetView>
  </sheetViews>
  <sheetFormatPr defaultRowHeight="15" x14ac:dyDescent="0.25"/>
  <cols>
    <col min="1" max="1" width="4.5703125" style="26" bestFit="1" customWidth="1"/>
    <col min="2" max="2" width="48.5703125" style="26" bestFit="1" customWidth="1"/>
    <col min="3" max="3" width="3.85546875" style="26" customWidth="1"/>
    <col min="4" max="50" width="3.85546875" style="26" bestFit="1" customWidth="1"/>
    <col min="51" max="51" width="11.85546875" style="26" customWidth="1"/>
    <col min="52" max="16384" width="9.140625" style="26"/>
  </cols>
  <sheetData>
    <row r="1" spans="1:52" x14ac:dyDescent="0.25">
      <c r="A1" s="55" t="str">
        <f>+'Cost-Details'!A1</f>
        <v>Rotary Club of Narayangarh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</row>
    <row r="2" spans="1:52" x14ac:dyDescent="0.25">
      <c r="A2" s="55" t="str">
        <f>+'Cost-Details'!A2</f>
        <v>Indigenous Women-led Commercial Farming in Nepal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</row>
    <row r="3" spans="1:52" x14ac:dyDescent="0.25">
      <c r="A3" s="55" t="s">
        <v>111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</row>
    <row r="4" spans="1:52" ht="15" customHeight="1" x14ac:dyDescent="0.25">
      <c r="A4" s="64" t="s">
        <v>2</v>
      </c>
      <c r="B4" s="64" t="s">
        <v>54</v>
      </c>
      <c r="C4" s="64" t="s">
        <v>112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5" t="s">
        <v>118</v>
      </c>
      <c r="AZ4" s="65" t="s">
        <v>117</v>
      </c>
    </row>
    <row r="5" spans="1:52" x14ac:dyDescent="0.25">
      <c r="A5" s="64"/>
      <c r="B5" s="64"/>
      <c r="C5" s="68">
        <v>44256</v>
      </c>
      <c r="D5" s="64"/>
      <c r="E5" s="64"/>
      <c r="F5" s="64"/>
      <c r="G5" s="68">
        <v>44287</v>
      </c>
      <c r="H5" s="68"/>
      <c r="I5" s="68"/>
      <c r="J5" s="68"/>
      <c r="K5" s="68">
        <v>44317</v>
      </c>
      <c r="L5" s="68"/>
      <c r="M5" s="68"/>
      <c r="N5" s="68"/>
      <c r="O5" s="68">
        <v>44348</v>
      </c>
      <c r="P5" s="68"/>
      <c r="Q5" s="68"/>
      <c r="R5" s="68"/>
      <c r="S5" s="68">
        <v>44378</v>
      </c>
      <c r="T5" s="68"/>
      <c r="U5" s="68"/>
      <c r="V5" s="68"/>
      <c r="W5" s="68">
        <v>44409</v>
      </c>
      <c r="X5" s="68"/>
      <c r="Y5" s="68"/>
      <c r="Z5" s="68"/>
      <c r="AA5" s="68">
        <v>44440</v>
      </c>
      <c r="AB5" s="68"/>
      <c r="AC5" s="68"/>
      <c r="AD5" s="68"/>
      <c r="AE5" s="68">
        <v>44470</v>
      </c>
      <c r="AF5" s="68"/>
      <c r="AG5" s="68"/>
      <c r="AH5" s="68"/>
      <c r="AI5" s="68">
        <v>44501</v>
      </c>
      <c r="AJ5" s="68"/>
      <c r="AK5" s="68"/>
      <c r="AL5" s="68"/>
      <c r="AM5" s="68">
        <v>44531</v>
      </c>
      <c r="AN5" s="68"/>
      <c r="AO5" s="68"/>
      <c r="AP5" s="68"/>
      <c r="AQ5" s="68">
        <v>44562</v>
      </c>
      <c r="AR5" s="68"/>
      <c r="AS5" s="68"/>
      <c r="AT5" s="68"/>
      <c r="AU5" s="68">
        <v>44593</v>
      </c>
      <c r="AV5" s="68"/>
      <c r="AW5" s="68"/>
      <c r="AX5" s="68"/>
      <c r="AY5" s="66"/>
      <c r="AZ5" s="66"/>
    </row>
    <row r="6" spans="1:52" x14ac:dyDescent="0.25">
      <c r="A6" s="64"/>
      <c r="B6" s="64"/>
      <c r="C6" s="36" t="s">
        <v>113</v>
      </c>
      <c r="D6" s="36" t="s">
        <v>114</v>
      </c>
      <c r="E6" s="36" t="s">
        <v>115</v>
      </c>
      <c r="F6" s="36" t="s">
        <v>116</v>
      </c>
      <c r="G6" s="36" t="s">
        <v>113</v>
      </c>
      <c r="H6" s="36" t="s">
        <v>114</v>
      </c>
      <c r="I6" s="36" t="s">
        <v>115</v>
      </c>
      <c r="J6" s="36" t="s">
        <v>116</v>
      </c>
      <c r="K6" s="36" t="s">
        <v>113</v>
      </c>
      <c r="L6" s="36" t="s">
        <v>114</v>
      </c>
      <c r="M6" s="36" t="s">
        <v>115</v>
      </c>
      <c r="N6" s="36" t="s">
        <v>116</v>
      </c>
      <c r="O6" s="36" t="s">
        <v>113</v>
      </c>
      <c r="P6" s="36" t="s">
        <v>114</v>
      </c>
      <c r="Q6" s="36" t="s">
        <v>115</v>
      </c>
      <c r="R6" s="36" t="s">
        <v>116</v>
      </c>
      <c r="S6" s="36" t="s">
        <v>113</v>
      </c>
      <c r="T6" s="36" t="s">
        <v>114</v>
      </c>
      <c r="U6" s="36" t="s">
        <v>115</v>
      </c>
      <c r="V6" s="36" t="s">
        <v>116</v>
      </c>
      <c r="W6" s="36" t="s">
        <v>113</v>
      </c>
      <c r="X6" s="36" t="s">
        <v>114</v>
      </c>
      <c r="Y6" s="36" t="s">
        <v>115</v>
      </c>
      <c r="Z6" s="36" t="s">
        <v>116</v>
      </c>
      <c r="AA6" s="36" t="s">
        <v>113</v>
      </c>
      <c r="AB6" s="36" t="s">
        <v>114</v>
      </c>
      <c r="AC6" s="36" t="s">
        <v>115</v>
      </c>
      <c r="AD6" s="36" t="s">
        <v>116</v>
      </c>
      <c r="AE6" s="36" t="s">
        <v>113</v>
      </c>
      <c r="AF6" s="36" t="s">
        <v>114</v>
      </c>
      <c r="AG6" s="36" t="s">
        <v>115</v>
      </c>
      <c r="AH6" s="36" t="s">
        <v>116</v>
      </c>
      <c r="AI6" s="36" t="s">
        <v>113</v>
      </c>
      <c r="AJ6" s="36" t="s">
        <v>114</v>
      </c>
      <c r="AK6" s="36" t="s">
        <v>115</v>
      </c>
      <c r="AL6" s="36" t="s">
        <v>116</v>
      </c>
      <c r="AM6" s="36" t="s">
        <v>113</v>
      </c>
      <c r="AN6" s="36" t="s">
        <v>114</v>
      </c>
      <c r="AO6" s="36" t="s">
        <v>115</v>
      </c>
      <c r="AP6" s="36" t="s">
        <v>116</v>
      </c>
      <c r="AQ6" s="36" t="s">
        <v>113</v>
      </c>
      <c r="AR6" s="36" t="s">
        <v>114</v>
      </c>
      <c r="AS6" s="36" t="s">
        <v>115</v>
      </c>
      <c r="AT6" s="36" t="s">
        <v>116</v>
      </c>
      <c r="AU6" s="36" t="s">
        <v>113</v>
      </c>
      <c r="AV6" s="36" t="s">
        <v>114</v>
      </c>
      <c r="AW6" s="36" t="s">
        <v>115</v>
      </c>
      <c r="AX6" s="36" t="s">
        <v>116</v>
      </c>
      <c r="AY6" s="67"/>
      <c r="AZ6" s="67"/>
    </row>
    <row r="7" spans="1:52" x14ac:dyDescent="0.25">
      <c r="A7" s="3">
        <v>1</v>
      </c>
      <c r="B7" s="3" t="s">
        <v>10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61" t="s">
        <v>138</v>
      </c>
    </row>
    <row r="8" spans="1:52" x14ac:dyDescent="0.25">
      <c r="A8" s="2">
        <v>1.1000000000000001</v>
      </c>
      <c r="B8" s="2" t="s">
        <v>11</v>
      </c>
      <c r="C8" s="35"/>
      <c r="D8" s="35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62"/>
    </row>
    <row r="9" spans="1:52" x14ac:dyDescent="0.25">
      <c r="A9" s="2">
        <v>1.2</v>
      </c>
      <c r="B9" s="2" t="s">
        <v>119</v>
      </c>
      <c r="C9" s="27"/>
      <c r="D9" s="27"/>
      <c r="E9" s="35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62"/>
    </row>
    <row r="10" spans="1:52" x14ac:dyDescent="0.25">
      <c r="A10" s="2">
        <v>1.3</v>
      </c>
      <c r="B10" s="2" t="s">
        <v>15</v>
      </c>
      <c r="C10" s="27"/>
      <c r="D10" s="27"/>
      <c r="E10" s="35"/>
      <c r="F10" s="35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62"/>
    </row>
    <row r="11" spans="1:52" x14ac:dyDescent="0.25">
      <c r="A11" s="2">
        <v>1.4</v>
      </c>
      <c r="B11" s="2" t="s">
        <v>120</v>
      </c>
      <c r="C11" s="27"/>
      <c r="D11" s="27"/>
      <c r="E11" s="27"/>
      <c r="F11" s="35"/>
      <c r="G11" s="35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63"/>
    </row>
    <row r="12" spans="1:52" x14ac:dyDescent="0.25">
      <c r="A12" s="3">
        <v>2</v>
      </c>
      <c r="B12" s="3" t="s">
        <v>17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</row>
    <row r="13" spans="1:52" ht="30" x14ac:dyDescent="0.25">
      <c r="A13" s="2">
        <v>2.1</v>
      </c>
      <c r="B13" s="5" t="s">
        <v>121</v>
      </c>
      <c r="C13" s="27"/>
      <c r="D13" s="27"/>
      <c r="E13" s="27"/>
      <c r="F13" s="27"/>
      <c r="G13" s="27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61" t="s">
        <v>139</v>
      </c>
    </row>
    <row r="14" spans="1:52" x14ac:dyDescent="0.25">
      <c r="A14" s="2">
        <v>2.2000000000000002</v>
      </c>
      <c r="B14" s="2" t="s">
        <v>122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35"/>
      <c r="Y14" s="35"/>
      <c r="Z14" s="35"/>
      <c r="AA14" s="35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62"/>
    </row>
    <row r="15" spans="1:52" x14ac:dyDescent="0.25">
      <c r="A15" s="2">
        <v>2.2999999999999998</v>
      </c>
      <c r="B15" s="2" t="s">
        <v>123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35"/>
      <c r="Y15" s="35"/>
      <c r="Z15" s="35"/>
      <c r="AA15" s="35"/>
      <c r="AB15" s="35"/>
      <c r="AC15" s="35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63"/>
    </row>
    <row r="16" spans="1:52" x14ac:dyDescent="0.25">
      <c r="A16" s="3">
        <v>3</v>
      </c>
      <c r="B16" s="3" t="s">
        <v>19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</row>
    <row r="17" spans="1:52" x14ac:dyDescent="0.25">
      <c r="A17" s="2">
        <v>3.1</v>
      </c>
      <c r="B17" s="2" t="s">
        <v>125</v>
      </c>
      <c r="C17" s="27"/>
      <c r="D17" s="27"/>
      <c r="E17" s="35"/>
      <c r="F17" s="35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61" t="s">
        <v>140</v>
      </c>
    </row>
    <row r="18" spans="1:52" x14ac:dyDescent="0.25">
      <c r="A18" s="2">
        <v>3.2</v>
      </c>
      <c r="B18" s="2" t="s">
        <v>124</v>
      </c>
      <c r="C18" s="27"/>
      <c r="D18" s="27"/>
      <c r="E18" s="27"/>
      <c r="F18" s="27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27"/>
      <c r="AY18" s="27"/>
      <c r="AZ18" s="63"/>
    </row>
    <row r="19" spans="1:52" x14ac:dyDescent="0.25">
      <c r="A19" s="3">
        <v>4</v>
      </c>
      <c r="B19" s="3" t="s">
        <v>21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</row>
    <row r="20" spans="1:52" x14ac:dyDescent="0.25">
      <c r="A20" s="2">
        <v>4.0999999999999996</v>
      </c>
      <c r="B20" s="2" t="s">
        <v>126</v>
      </c>
      <c r="C20" s="27"/>
      <c r="D20" s="27"/>
      <c r="E20" s="35"/>
      <c r="F20" s="35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61" t="s">
        <v>141</v>
      </c>
    </row>
    <row r="21" spans="1:52" x14ac:dyDescent="0.25">
      <c r="A21" s="2">
        <v>4.2</v>
      </c>
      <c r="B21" s="2" t="s">
        <v>127</v>
      </c>
      <c r="C21" s="27"/>
      <c r="D21" s="27"/>
      <c r="E21" s="27"/>
      <c r="F21" s="27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27"/>
      <c r="AY21" s="27"/>
      <c r="AZ21" s="63"/>
    </row>
    <row r="22" spans="1:52" x14ac:dyDescent="0.25">
      <c r="A22" s="3">
        <v>5</v>
      </c>
      <c r="B22" s="3" t="s">
        <v>24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</row>
    <row r="23" spans="1:52" x14ac:dyDescent="0.25">
      <c r="A23" s="2">
        <v>5.0999999999999996</v>
      </c>
      <c r="B23" s="2" t="s">
        <v>128</v>
      </c>
      <c r="C23" s="27"/>
      <c r="D23" s="27"/>
      <c r="E23" s="35"/>
      <c r="F23" s="35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61" t="s">
        <v>142</v>
      </c>
    </row>
    <row r="24" spans="1:52" x14ac:dyDescent="0.25">
      <c r="A24" s="2">
        <v>5.2</v>
      </c>
      <c r="B24" s="2" t="s">
        <v>129</v>
      </c>
      <c r="C24" s="27"/>
      <c r="D24" s="27"/>
      <c r="E24" s="27"/>
      <c r="F24" s="27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27"/>
      <c r="AY24" s="27"/>
      <c r="AZ24" s="63"/>
    </row>
    <row r="25" spans="1:52" x14ac:dyDescent="0.25">
      <c r="A25" s="3">
        <v>6</v>
      </c>
      <c r="B25" s="3" t="s">
        <v>26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</row>
    <row r="26" spans="1:52" x14ac:dyDescent="0.25">
      <c r="A26" s="2">
        <v>6.1</v>
      </c>
      <c r="B26" s="2" t="s">
        <v>130</v>
      </c>
      <c r="C26" s="27"/>
      <c r="D26" s="27"/>
      <c r="E26" s="35"/>
      <c r="F26" s="35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61" t="s">
        <v>143</v>
      </c>
    </row>
    <row r="27" spans="1:52" x14ac:dyDescent="0.25">
      <c r="A27" s="2">
        <v>6.2</v>
      </c>
      <c r="B27" s="2" t="s">
        <v>131</v>
      </c>
      <c r="C27" s="27"/>
      <c r="D27" s="27"/>
      <c r="E27" s="27"/>
      <c r="F27" s="27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27"/>
      <c r="AY27" s="27"/>
      <c r="AZ27" s="62"/>
    </row>
    <row r="28" spans="1:52" x14ac:dyDescent="0.25">
      <c r="A28" s="2">
        <v>6.3</v>
      </c>
      <c r="B28" s="2" t="s">
        <v>132</v>
      </c>
      <c r="C28" s="27"/>
      <c r="D28" s="27"/>
      <c r="E28" s="27"/>
      <c r="F28" s="27"/>
      <c r="G28" s="27"/>
      <c r="H28" s="27"/>
      <c r="I28" s="27"/>
      <c r="J28" s="35"/>
      <c r="K28" s="35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63"/>
    </row>
    <row r="29" spans="1:52" x14ac:dyDescent="0.25">
      <c r="A29" s="3">
        <v>7</v>
      </c>
      <c r="B29" s="3" t="s">
        <v>31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</row>
    <row r="30" spans="1:52" x14ac:dyDescent="0.25">
      <c r="A30" s="2">
        <v>7.1</v>
      </c>
      <c r="B30" s="2" t="s">
        <v>33</v>
      </c>
      <c r="C30" s="27"/>
      <c r="D30" s="27"/>
      <c r="E30" s="27"/>
      <c r="F30" s="27"/>
      <c r="G30" s="35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</row>
    <row r="31" spans="1:52" x14ac:dyDescent="0.25">
      <c r="A31" s="2">
        <v>7.2</v>
      </c>
      <c r="B31" s="2" t="s">
        <v>34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35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</row>
    <row r="32" spans="1:52" x14ac:dyDescent="0.25">
      <c r="A32" s="2">
        <v>7.3</v>
      </c>
      <c r="B32" s="2" t="s">
        <v>35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35"/>
      <c r="Z32" s="35"/>
      <c r="AA32" s="35"/>
      <c r="AB32" s="35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</row>
    <row r="33" spans="1:52" x14ac:dyDescent="0.25">
      <c r="A33" s="2">
        <v>7.4</v>
      </c>
      <c r="B33" s="2" t="s">
        <v>36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35"/>
      <c r="AD33" s="35"/>
      <c r="AE33" s="35"/>
      <c r="AF33" s="35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</row>
    <row r="34" spans="1:52" x14ac:dyDescent="0.25">
      <c r="A34" s="3">
        <v>8</v>
      </c>
      <c r="B34" s="3" t="s">
        <v>133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</row>
    <row r="35" spans="1:52" x14ac:dyDescent="0.25">
      <c r="A35" s="2">
        <v>8.1</v>
      </c>
      <c r="B35" s="2" t="s">
        <v>134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27"/>
      <c r="AZ35" s="27"/>
    </row>
    <row r="36" spans="1:52" x14ac:dyDescent="0.25">
      <c r="A36" s="2">
        <v>8.1999999999999993</v>
      </c>
      <c r="B36" s="2" t="s">
        <v>135</v>
      </c>
      <c r="C36" s="35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</row>
    <row r="37" spans="1:52" x14ac:dyDescent="0.25">
      <c r="A37" s="2">
        <v>8.3000000000000007</v>
      </c>
      <c r="B37" s="2" t="s">
        <v>136</v>
      </c>
      <c r="C37" s="27"/>
      <c r="D37" s="27"/>
      <c r="E37" s="27"/>
      <c r="F37" s="35"/>
      <c r="G37" s="27"/>
      <c r="H37" s="27"/>
      <c r="I37" s="27"/>
      <c r="J37" s="35"/>
      <c r="K37" s="27"/>
      <c r="L37" s="27"/>
      <c r="M37" s="27"/>
      <c r="N37" s="35"/>
      <c r="O37" s="27"/>
      <c r="P37" s="27"/>
      <c r="Q37" s="27"/>
      <c r="R37" s="35"/>
      <c r="S37" s="27"/>
      <c r="T37" s="27"/>
      <c r="U37" s="27"/>
      <c r="V37" s="35"/>
      <c r="W37" s="27"/>
      <c r="X37" s="27"/>
      <c r="Y37" s="27"/>
      <c r="Z37" s="35"/>
      <c r="AA37" s="27"/>
      <c r="AB37" s="27"/>
      <c r="AC37" s="27"/>
      <c r="AD37" s="35"/>
      <c r="AE37" s="27"/>
      <c r="AF37" s="27"/>
      <c r="AG37" s="27"/>
      <c r="AH37" s="35"/>
      <c r="AI37" s="27"/>
      <c r="AJ37" s="27"/>
      <c r="AK37" s="27"/>
      <c r="AL37" s="35"/>
      <c r="AM37" s="27"/>
      <c r="AN37" s="27"/>
      <c r="AO37" s="27"/>
      <c r="AP37" s="35"/>
      <c r="AQ37" s="27"/>
      <c r="AR37" s="27"/>
      <c r="AS37" s="27"/>
      <c r="AT37" s="35"/>
      <c r="AU37" s="27"/>
      <c r="AV37" s="27"/>
      <c r="AW37" s="27"/>
      <c r="AX37" s="35"/>
      <c r="AY37" s="27"/>
      <c r="AZ37" s="27"/>
    </row>
    <row r="38" spans="1:52" x14ac:dyDescent="0.25">
      <c r="A38" s="2">
        <v>8.4</v>
      </c>
      <c r="B38" s="2" t="s">
        <v>137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35"/>
      <c r="AY38" s="27"/>
      <c r="AZ38" s="27"/>
    </row>
    <row r="39" spans="1:52" x14ac:dyDescent="0.25">
      <c r="A39" s="2"/>
      <c r="B39" s="2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</row>
  </sheetData>
  <mergeCells count="26">
    <mergeCell ref="G5:J5"/>
    <mergeCell ref="K5:N5"/>
    <mergeCell ref="O5:R5"/>
    <mergeCell ref="S5:V5"/>
    <mergeCell ref="W5:Z5"/>
    <mergeCell ref="AZ26:AZ28"/>
    <mergeCell ref="A1:AZ1"/>
    <mergeCell ref="A2:AZ2"/>
    <mergeCell ref="A3:AZ3"/>
    <mergeCell ref="C4:AX4"/>
    <mergeCell ref="B4:B6"/>
    <mergeCell ref="A4:A6"/>
    <mergeCell ref="AZ4:AZ6"/>
    <mergeCell ref="AY4:AY6"/>
    <mergeCell ref="AA5:AD5"/>
    <mergeCell ref="AE5:AH5"/>
    <mergeCell ref="AI5:AL5"/>
    <mergeCell ref="AM5:AP5"/>
    <mergeCell ref="AQ5:AT5"/>
    <mergeCell ref="AU5:AX5"/>
    <mergeCell ref="C5:F5"/>
    <mergeCell ref="AZ7:AZ11"/>
    <mergeCell ref="AZ13:AZ15"/>
    <mergeCell ref="AZ17:AZ18"/>
    <mergeCell ref="AZ20:AZ21"/>
    <mergeCell ref="AZ23:AZ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Assumptions</vt:lpstr>
      <vt:lpstr>Cost-Details</vt:lpstr>
      <vt:lpstr>Revenue</vt:lpstr>
      <vt:lpstr>Contribution</vt:lpstr>
      <vt:lpstr>Implementation-Plan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2020-11-17T13:25:45Z</dcterms:modified>
</cp:coreProperties>
</file>