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5195" windowHeight="8700" tabRatio="762" activeTab="1"/>
  </bookViews>
  <sheets>
    <sheet name="Project Budget" sheetId="14" r:id="rId1"/>
    <sheet name="House Budget" sheetId="19" r:id="rId2"/>
  </sheets>
  <definedNames>
    <definedName name="Category">'Project Budget'!#REF!</definedName>
    <definedName name="_xlnm.Print_Area" localSheetId="1">'House Budget'!$A$1:$G$30</definedName>
    <definedName name="_xlnm.Print_Area" localSheetId="0">'Project Budget'!$B$1:$J$82</definedName>
    <definedName name="Sources">'Project Budget'!$W$8:$W$11</definedName>
  </definedNames>
  <calcPr calcId="125725"/>
</workbook>
</file>

<file path=xl/calcChain.xml><?xml version="1.0" encoding="utf-8"?>
<calcChain xmlns="http://schemas.openxmlformats.org/spreadsheetml/2006/main">
  <c r="E30" i="19"/>
  <c r="E27"/>
  <c r="D12"/>
  <c r="E12" s="1"/>
  <c r="D13"/>
  <c r="E13" s="1"/>
  <c r="D14"/>
  <c r="E14" s="1"/>
  <c r="D15"/>
  <c r="E15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F39" i="14"/>
  <c r="G39" s="1"/>
  <c r="F38"/>
  <c r="F70"/>
  <c r="F37"/>
  <c r="F81"/>
  <c r="F73"/>
  <c r="F63"/>
  <c r="F66"/>
  <c r="F64"/>
  <c r="F62"/>
  <c r="F67"/>
  <c r="F65"/>
  <c r="F80"/>
  <c r="F69"/>
  <c r="F71"/>
  <c r="F72"/>
  <c r="F79"/>
  <c r="F78"/>
  <c r="F77"/>
  <c r="F57"/>
  <c r="F56"/>
  <c r="E25" i="19" l="1"/>
  <c r="G20" i="14"/>
  <c r="G77"/>
  <c r="G78" l="1"/>
  <c r="G79"/>
  <c r="G80"/>
  <c r="G81"/>
  <c r="G63"/>
  <c r="G64"/>
  <c r="G65"/>
  <c r="G66"/>
  <c r="G67"/>
  <c r="G68"/>
  <c r="G69"/>
  <c r="G70"/>
  <c r="G71"/>
  <c r="G72"/>
  <c r="G73"/>
  <c r="G62"/>
  <c r="G57"/>
  <c r="G58"/>
  <c r="G56"/>
  <c r="G46"/>
  <c r="G47"/>
  <c r="G48"/>
  <c r="G49"/>
  <c r="G50"/>
  <c r="G51"/>
  <c r="G52"/>
  <c r="G45"/>
  <c r="G35"/>
  <c r="G36"/>
  <c r="G37"/>
  <c r="G38"/>
  <c r="G34"/>
  <c r="G15" l="1"/>
  <c r="F76"/>
  <c r="G12"/>
  <c r="G11"/>
  <c r="E21"/>
  <c r="E20"/>
  <c r="I11" l="1"/>
  <c r="I12"/>
  <c r="G17"/>
  <c r="G16"/>
  <c r="E19"/>
  <c r="G19" s="1"/>
  <c r="G9"/>
  <c r="F59" l="1"/>
  <c r="F82"/>
  <c r="F74"/>
  <c r="F61"/>
  <c r="F55"/>
  <c r="F53"/>
  <c r="F44"/>
  <c r="F33"/>
  <c r="G59" l="1"/>
  <c r="G82"/>
  <c r="H12"/>
  <c r="G74"/>
  <c r="H11"/>
  <c r="G53"/>
  <c r="H16" l="1"/>
  <c r="H17"/>
  <c r="G21" l="1"/>
  <c r="F40"/>
  <c r="G10" s="1"/>
  <c r="G13" s="1"/>
  <c r="G40"/>
  <c r="H10" s="1"/>
  <c r="H13" s="1"/>
  <c r="H20" l="1"/>
  <c r="H21"/>
  <c r="H19"/>
</calcChain>
</file>

<file path=xl/comments1.xml><?xml version="1.0" encoding="utf-8"?>
<comments xmlns="http://schemas.openxmlformats.org/spreadsheetml/2006/main">
  <authors>
    <author>Ryan</author>
  </authors>
  <commentList>
    <comment ref="F26" authorId="0">
      <text>
        <r>
          <rPr>
            <b/>
            <sz val="9"/>
            <color indexed="81"/>
            <rFont val="Tahoma"/>
            <family val="2"/>
          </rPr>
          <t>Ryan:</t>
        </r>
        <r>
          <rPr>
            <sz val="9"/>
            <color indexed="81"/>
            <rFont val="Tahoma"/>
            <family val="2"/>
          </rPr>
          <t xml:space="preserve">
How much of the local currency is required to obtain $1? Put that amount here.</t>
        </r>
      </text>
    </comment>
  </commentList>
</comments>
</file>

<file path=xl/sharedStrings.xml><?xml version="1.0" encoding="utf-8"?>
<sst xmlns="http://schemas.openxmlformats.org/spreadsheetml/2006/main" count="186" uniqueCount="126">
  <si>
    <t>TOTAL SOURCES</t>
  </si>
  <si>
    <t>Notes</t>
  </si>
  <si>
    <t>SOURCES OF FUNDS</t>
  </si>
  <si>
    <t>USES OF FUNDS</t>
  </si>
  <si>
    <t>Rent</t>
  </si>
  <si>
    <t>Utilities</t>
  </si>
  <si>
    <t>Telephone</t>
  </si>
  <si>
    <t>Office Supplies</t>
  </si>
  <si>
    <t>Printing</t>
  </si>
  <si>
    <t>Postage &amp; Delivery</t>
  </si>
  <si>
    <t>Tools &amp; Equipment</t>
  </si>
  <si>
    <t>Furniture &amp; Fixtures</t>
  </si>
  <si>
    <t>Computers</t>
  </si>
  <si>
    <t>Local funds raised:</t>
  </si>
  <si>
    <t>Local gifts-in-kind:</t>
  </si>
  <si>
    <t>Mortgage repayments:</t>
  </si>
  <si>
    <t>KEY</t>
  </si>
  <si>
    <t>Required</t>
  </si>
  <si>
    <t>Optional</t>
  </si>
  <si>
    <t>Other:</t>
  </si>
  <si>
    <t>Land purchase price</t>
  </si>
  <si>
    <t>subtotal: Construction costs</t>
  </si>
  <si>
    <t>U.S. Dollars</t>
  </si>
  <si>
    <t>Total Sources:</t>
  </si>
  <si>
    <t>Total Uses: Program:</t>
  </si>
  <si>
    <t>Total Uses: Administration:</t>
  </si>
  <si>
    <t>Cost per House - excluding admin:</t>
  </si>
  <si>
    <t>Cost per House - including admin:</t>
  </si>
  <si>
    <t>Your Currency Used:</t>
  </si>
  <si>
    <t>Done</t>
  </si>
  <si>
    <t>Infrastructure &amp; capital costs</t>
  </si>
  <si>
    <t>Balance (shortfall)</t>
  </si>
  <si>
    <t>subtotal: Capital costs</t>
  </si>
  <si>
    <t>Bank fees</t>
  </si>
  <si>
    <t>New Homes to complete:</t>
  </si>
  <si>
    <t>Partial homes to complete:</t>
  </si>
  <si>
    <t>Repairs to complete:</t>
  </si>
  <si>
    <t>Country/Location:</t>
  </si>
  <si>
    <t>Exchange rate to U.S. dollar:</t>
  </si>
  <si>
    <t>Category</t>
  </si>
  <si>
    <t>Administrative</t>
  </si>
  <si>
    <t>Program</t>
  </si>
  <si>
    <t>Raised by Covenant Partner</t>
  </si>
  <si>
    <t>Raised by FCH</t>
  </si>
  <si>
    <t>New home construction</t>
  </si>
  <si>
    <t>Partial home construction</t>
  </si>
  <si>
    <t>Home repair projects</t>
  </si>
  <si>
    <t>Office Expenses</t>
  </si>
  <si>
    <t>Annual audit</t>
  </si>
  <si>
    <t>Mortgage repayments</t>
  </si>
  <si>
    <t>Funds carried-over from previous year:</t>
  </si>
  <si>
    <t>Carry-over</t>
  </si>
  <si>
    <t>Vehicle Acquisition (construction use)</t>
  </si>
  <si>
    <t>Vehicle maintenance (construction use)</t>
  </si>
  <si>
    <t>Vehicle fuel (construction use)</t>
  </si>
  <si>
    <t>Subtotal: Office expenses</t>
  </si>
  <si>
    <t>Subtotal: Staffing expenses</t>
  </si>
  <si>
    <t>Should be 80% or more</t>
  </si>
  <si>
    <t>Should be 20% or less</t>
  </si>
  <si>
    <t>Vehicle maintenance (administrative use)</t>
  </si>
  <si>
    <t>Vehicle fuel (administrative use)</t>
  </si>
  <si>
    <t>Director</t>
  </si>
  <si>
    <r>
      <t xml:space="preserve">SUMMARY </t>
    </r>
    <r>
      <rPr>
        <sz val="10"/>
        <rFont val="Arial"/>
        <family val="2"/>
      </rPr>
      <t>(fills in automatically)</t>
    </r>
  </si>
  <si>
    <r>
      <t xml:space="preserve">THE BASICS </t>
    </r>
    <r>
      <rPr>
        <b/>
        <sz val="10"/>
        <rFont val="Arial"/>
        <family val="2"/>
      </rPr>
      <t>(start here)</t>
    </r>
  </si>
  <si>
    <t>Total Projects:</t>
  </si>
  <si>
    <r>
      <t xml:space="preserve">Staffing Expenses </t>
    </r>
    <r>
      <rPr>
        <sz val="12"/>
        <rFont val="Arial"/>
        <family val="2"/>
      </rPr>
      <t>(Please list job titles)</t>
    </r>
  </si>
  <si>
    <t>Madagascar</t>
  </si>
  <si>
    <t>MGA</t>
  </si>
  <si>
    <t>Construction specialist</t>
  </si>
  <si>
    <t>Monitoring and Evaluation Officer</t>
  </si>
  <si>
    <t>Community Mobilization  Agent</t>
  </si>
  <si>
    <t>Internet connection</t>
  </si>
  <si>
    <t>01 Full-time- 01 Part-time</t>
  </si>
  <si>
    <t>Full-time</t>
  </si>
  <si>
    <t>Part time</t>
  </si>
  <si>
    <t>Project finance assistant</t>
  </si>
  <si>
    <t>Lodging of the technician along the  year</t>
  </si>
  <si>
    <t>Laptop used by the technician on the sites</t>
  </si>
  <si>
    <t>Plans of the house</t>
  </si>
  <si>
    <t>Local communication</t>
  </si>
  <si>
    <t>Global Giving Fundraiser</t>
  </si>
  <si>
    <t>Other International Support</t>
  </si>
  <si>
    <t>Direct Construction Costs</t>
  </si>
  <si>
    <t>Raised Internationally</t>
  </si>
  <si>
    <t>Travel to construction sites</t>
  </si>
  <si>
    <t>Malagasy Leadership Staff &amp; Admin</t>
  </si>
  <si>
    <t>Program Implemenation Costs</t>
  </si>
  <si>
    <t>SubTotal: Direct Construction Costs</t>
  </si>
  <si>
    <t>Unit</t>
  </si>
  <si>
    <t>Other: Solar panel and accessories</t>
  </si>
  <si>
    <t>Total</t>
  </si>
  <si>
    <t>Aggregate (sand, gravel, stone)</t>
  </si>
  <si>
    <t>A.I.P</t>
  </si>
  <si>
    <t>Materials transportation</t>
  </si>
  <si>
    <t>Tools</t>
  </si>
  <si>
    <t>Paid labor</t>
  </si>
  <si>
    <t>Fixtures</t>
  </si>
  <si>
    <t>Roof trusses or joists</t>
  </si>
  <si>
    <t>Roof shingles/sheets</t>
  </si>
  <si>
    <t>Per window</t>
  </si>
  <si>
    <t>Windows</t>
  </si>
  <si>
    <t>Per door</t>
  </si>
  <si>
    <t>Doors</t>
  </si>
  <si>
    <t>Structural metal (rebar)</t>
  </si>
  <si>
    <t>Building blocks/bricks</t>
  </si>
  <si>
    <t xml:space="preserve">Cement </t>
  </si>
  <si>
    <t>Total cost</t>
  </si>
  <si>
    <t>Cost per unit</t>
  </si>
  <si>
    <t>Number of units per house</t>
  </si>
  <si>
    <t>Unit of measure</t>
  </si>
  <si>
    <t>Yes</t>
  </si>
  <si>
    <t>Include a place to shower or bathe?</t>
  </si>
  <si>
    <t>Include a latrine?</t>
  </si>
  <si>
    <t>Does it include a kitchen?</t>
  </si>
  <si>
    <t>Number of bedrooms:</t>
  </si>
  <si>
    <t>Exchange rate to USD:</t>
  </si>
  <si>
    <t>Size of house (square feet or meters):</t>
  </si>
  <si>
    <t>Currency used:</t>
  </si>
  <si>
    <t>New house</t>
  </si>
  <si>
    <t>New house, major rehab, or minor repair?</t>
  </si>
  <si>
    <t>Typical costs per house</t>
  </si>
  <si>
    <t>$2774 per house -- See House Budget tab</t>
  </si>
  <si>
    <t>Various supporters</t>
  </si>
  <si>
    <t>Project Budget form</t>
  </si>
  <si>
    <t>Sponsorship Cost Per House</t>
  </si>
  <si>
    <t>Cost Per House + Admin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</si>
</sst>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Arial"/>
      <family val="2"/>
    </font>
    <font>
      <u val="singleAccounting"/>
      <sz val="12"/>
      <name val="Arial"/>
      <family val="2"/>
    </font>
    <font>
      <sz val="2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4" fontId="4" fillId="0" borderId="5" xfId="0" applyNumberFormat="1" applyFont="1" applyFill="1" applyBorder="1" applyAlignment="1" applyProtection="1">
      <alignment horizontal="left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3" fontId="4" fillId="0" borderId="5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4" borderId="0" xfId="0" applyFill="1" applyProtection="1">
      <protection locked="0"/>
    </xf>
    <xf numFmtId="0" fontId="2" fillId="0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0" fillId="0" borderId="5" xfId="0" applyFill="1" applyBorder="1" applyProtection="1"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4" fontId="15" fillId="0" borderId="0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164" fontId="4" fillId="0" borderId="0" xfId="1" applyNumberFormat="1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center"/>
      <protection locked="0"/>
    </xf>
    <xf numFmtId="165" fontId="16" fillId="0" borderId="0" xfId="3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164" fontId="16" fillId="0" borderId="0" xfId="1" applyNumberFormat="1" applyFont="1" applyFill="1" applyBorder="1" applyProtection="1">
      <protection locked="0"/>
    </xf>
    <xf numFmtId="165" fontId="16" fillId="0" borderId="0" xfId="3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164" fontId="5" fillId="0" borderId="0" xfId="1" applyNumberFormat="1" applyFont="1" applyFill="1" applyBorder="1" applyProtection="1">
      <protection locked="0"/>
    </xf>
    <xf numFmtId="165" fontId="5" fillId="0" borderId="0" xfId="3" applyNumberFormat="1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11" fillId="0" borderId="3" xfId="0" applyFont="1" applyFill="1" applyBorder="1" applyProtection="1"/>
    <xf numFmtId="0" fontId="11" fillId="0" borderId="1" xfId="0" applyFont="1" applyFill="1" applyBorder="1" applyProtection="1"/>
    <xf numFmtId="164" fontId="15" fillId="0" borderId="1" xfId="1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0" fontId="4" fillId="0" borderId="7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164" fontId="4" fillId="0" borderId="0" xfId="1" applyNumberFormat="1" applyFont="1" applyFill="1" applyBorder="1" applyProtection="1"/>
    <xf numFmtId="165" fontId="4" fillId="0" borderId="0" xfId="3" applyNumberFormat="1" applyFont="1" applyFill="1" applyBorder="1" applyProtection="1"/>
    <xf numFmtId="165" fontId="4" fillId="0" borderId="5" xfId="3" applyNumberFormat="1" applyFont="1" applyFill="1" applyBorder="1" applyProtection="1"/>
    <xf numFmtId="9" fontId="10" fillId="0" borderId="0" xfId="2" applyFont="1" applyFill="1" applyBorder="1" applyProtection="1"/>
    <xf numFmtId="0" fontId="4" fillId="0" borderId="2" xfId="0" applyFont="1" applyFill="1" applyBorder="1" applyAlignment="1" applyProtection="1">
      <alignment horizontal="right"/>
    </xf>
    <xf numFmtId="164" fontId="4" fillId="0" borderId="2" xfId="1" applyNumberFormat="1" applyFont="1" applyFill="1" applyBorder="1" applyProtection="1"/>
    <xf numFmtId="165" fontId="4" fillId="0" borderId="2" xfId="3" applyNumberFormat="1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7" fontId="10" fillId="0" borderId="0" xfId="1" applyNumberFormat="1" applyFont="1" applyFill="1" applyBorder="1" applyProtection="1"/>
    <xf numFmtId="37" fontId="10" fillId="0" borderId="0" xfId="3" applyNumberFormat="1" applyFont="1" applyFill="1" applyBorder="1" applyProtection="1"/>
    <xf numFmtId="43" fontId="4" fillId="0" borderId="0" xfId="1" applyFont="1" applyFill="1" applyBorder="1" applyProtection="1"/>
    <xf numFmtId="0" fontId="0" fillId="0" borderId="7" xfId="0" applyFill="1" applyBorder="1" applyProtection="1"/>
    <xf numFmtId="0" fontId="3" fillId="0" borderId="7" xfId="0" applyFont="1" applyFill="1" applyBorder="1" applyProtection="1"/>
    <xf numFmtId="0" fontId="4" fillId="0" borderId="0" xfId="0" applyFont="1" applyFill="1" applyBorder="1" applyProtection="1"/>
    <xf numFmtId="0" fontId="4" fillId="0" borderId="5" xfId="0" applyFont="1" applyFill="1" applyBorder="1" applyProtection="1"/>
    <xf numFmtId="9" fontId="4" fillId="0" borderId="0" xfId="2" applyFont="1" applyFill="1" applyBorder="1" applyProtection="1"/>
    <xf numFmtId="0" fontId="2" fillId="0" borderId="0" xfId="0" applyFont="1" applyFill="1" applyBorder="1" applyProtection="1"/>
    <xf numFmtId="0" fontId="2" fillId="0" borderId="5" xfId="0" applyFont="1" applyFill="1" applyBorder="1" applyProtection="1"/>
    <xf numFmtId="9" fontId="4" fillId="0" borderId="2" xfId="2" applyFont="1" applyFill="1" applyBorder="1" applyProtection="1"/>
    <xf numFmtId="0" fontId="2" fillId="0" borderId="2" xfId="0" applyFont="1" applyFill="1" applyBorder="1" applyProtection="1"/>
    <xf numFmtId="0" fontId="2" fillId="0" borderId="6" xfId="0" applyFont="1" applyFill="1" applyBorder="1" applyProtection="1"/>
    <xf numFmtId="0" fontId="4" fillId="6" borderId="0" xfId="0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Alignment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0" fontId="10" fillId="5" borderId="10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left" vertical="center" indent="2"/>
      <protection locked="0"/>
    </xf>
    <xf numFmtId="0" fontId="17" fillId="0" borderId="1" xfId="0" applyFont="1" applyFill="1" applyBorder="1" applyAlignment="1" applyProtection="1">
      <alignment horizontal="left" vertical="center" indent="2"/>
      <protection locked="0"/>
    </xf>
    <xf numFmtId="0" fontId="17" fillId="0" borderId="7" xfId="0" applyFont="1" applyFill="1" applyBorder="1" applyAlignment="1" applyProtection="1">
      <alignment horizontal="left" vertical="center" indent="2"/>
      <protection locked="0"/>
    </xf>
    <xf numFmtId="0" fontId="17" fillId="0" borderId="0" xfId="0" applyFont="1" applyFill="1" applyBorder="1" applyAlignment="1" applyProtection="1">
      <alignment horizontal="left" vertical="center" indent="2"/>
      <protection locked="0"/>
    </xf>
    <xf numFmtId="0" fontId="17" fillId="0" borderId="8" xfId="0" applyFont="1" applyFill="1" applyBorder="1" applyAlignment="1" applyProtection="1">
      <alignment horizontal="left" vertical="center" indent="2"/>
      <protection locked="0"/>
    </xf>
    <xf numFmtId="0" fontId="17" fillId="0" borderId="2" xfId="0" applyFont="1" applyFill="1" applyBorder="1" applyAlignment="1" applyProtection="1">
      <alignment horizontal="left" vertical="center" indent="2"/>
      <protection locked="0"/>
    </xf>
    <xf numFmtId="0" fontId="4" fillId="0" borderId="7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right"/>
    </xf>
    <xf numFmtId="1" fontId="10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protection locked="0"/>
    </xf>
    <xf numFmtId="165" fontId="16" fillId="0" borderId="0" xfId="3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65" fontId="5" fillId="0" borderId="0" xfId="3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1" fillId="0" borderId="0" xfId="4" applyFont="1" applyFill="1"/>
    <xf numFmtId="0" fontId="1" fillId="0" borderId="0" xfId="4" applyFont="1" applyFill="1" applyAlignment="1"/>
    <xf numFmtId="165" fontId="19" fillId="6" borderId="0" xfId="5" applyNumberFormat="1" applyFont="1" applyFill="1"/>
    <xf numFmtId="43" fontId="18" fillId="0" borderId="0" xfId="6" applyFont="1" applyFill="1"/>
    <xf numFmtId="0" fontId="18" fillId="0" borderId="0" xfId="4" applyFont="1" applyFill="1"/>
    <xf numFmtId="0" fontId="20" fillId="0" borderId="0" xfId="4" applyFont="1" applyFill="1" applyBorder="1" applyAlignment="1" applyProtection="1">
      <alignment horizontal="right"/>
      <protection hidden="1"/>
    </xf>
    <xf numFmtId="44" fontId="18" fillId="0" borderId="0" xfId="5" applyFont="1" applyFill="1"/>
    <xf numFmtId="0" fontId="21" fillId="0" borderId="0" xfId="4" applyFont="1" applyFill="1" applyBorder="1" applyAlignment="1" applyProtection="1">
      <alignment horizontal="left"/>
      <protection hidden="1"/>
    </xf>
    <xf numFmtId="0" fontId="1" fillId="0" borderId="11" xfId="4" applyFont="1" applyFill="1" applyBorder="1" applyAlignment="1"/>
    <xf numFmtId="44" fontId="0" fillId="0" borderId="12" xfId="5" applyFont="1" applyFill="1" applyBorder="1"/>
    <xf numFmtId="43" fontId="0" fillId="0" borderId="12" xfId="6" applyFont="1" applyFill="1" applyBorder="1"/>
    <xf numFmtId="0" fontId="1" fillId="0" borderId="12" xfId="4" applyFont="1" applyFill="1" applyBorder="1" applyAlignment="1">
      <alignment horizontal="center"/>
    </xf>
    <xf numFmtId="0" fontId="22" fillId="0" borderId="12" xfId="4" applyFont="1" applyFill="1" applyBorder="1" applyProtection="1">
      <protection locked="0"/>
    </xf>
    <xf numFmtId="0" fontId="22" fillId="0" borderId="12" xfId="4" applyFont="1" applyFill="1" applyBorder="1" applyProtection="1">
      <protection hidden="1"/>
    </xf>
    <xf numFmtId="0" fontId="1" fillId="0" borderId="0" xfId="4" applyFont="1" applyFill="1" applyBorder="1" applyAlignment="1"/>
    <xf numFmtId="0" fontId="1" fillId="0" borderId="0" xfId="4" applyFont="1" applyFill="1" applyAlignment="1">
      <alignment horizontal="center"/>
    </xf>
    <xf numFmtId="0" fontId="18" fillId="0" borderId="0" xfId="4" applyFont="1" applyFill="1" applyAlignment="1">
      <alignment vertical="center" wrapText="1"/>
    </xf>
    <xf numFmtId="0" fontId="18" fillId="0" borderId="11" xfId="4" applyFont="1" applyFill="1" applyBorder="1" applyAlignment="1">
      <alignment vertical="center" wrapText="1"/>
    </xf>
    <xf numFmtId="0" fontId="18" fillId="0" borderId="12" xfId="4" applyFont="1" applyFill="1" applyBorder="1" applyAlignment="1">
      <alignment horizontal="center" vertical="center"/>
    </xf>
    <xf numFmtId="0" fontId="18" fillId="0" borderId="12" xfId="4" applyFont="1" applyFill="1" applyBorder="1" applyAlignment="1">
      <alignment horizontal="center" vertical="center" wrapText="1"/>
    </xf>
    <xf numFmtId="0" fontId="1" fillId="0" borderId="13" xfId="4" applyFont="1" applyFill="1" applyBorder="1"/>
    <xf numFmtId="0" fontId="1" fillId="0" borderId="13" xfId="4" applyFill="1" applyBorder="1" applyAlignment="1">
      <alignment horizontal="right"/>
    </xf>
    <xf numFmtId="0" fontId="1" fillId="0" borderId="0" xfId="4" applyFont="1" applyFill="1" applyBorder="1" applyAlignment="1">
      <alignment horizontal="right" wrapText="1"/>
    </xf>
    <xf numFmtId="0" fontId="1" fillId="0" borderId="12" xfId="4" applyFill="1" applyBorder="1" applyAlignment="1">
      <alignment horizontal="right" wrapText="1"/>
    </xf>
    <xf numFmtId="0" fontId="1" fillId="0" borderId="12" xfId="4" applyFill="1" applyBorder="1" applyAlignment="1">
      <alignment horizontal="right"/>
    </xf>
    <xf numFmtId="0" fontId="1" fillId="0" borderId="0" xfId="4" applyFont="1" applyFill="1" applyBorder="1"/>
    <xf numFmtId="0" fontId="1" fillId="0" borderId="0" xfId="4" applyFill="1" applyBorder="1" applyAlignment="1">
      <alignment horizontal="right"/>
    </xf>
    <xf numFmtId="0" fontId="1" fillId="0" borderId="12" xfId="4" applyFont="1" applyFill="1" applyBorder="1" applyAlignment="1">
      <alignment horizontal="right"/>
    </xf>
    <xf numFmtId="2" fontId="1" fillId="0" borderId="12" xfId="4" applyNumberFormat="1" applyFont="1" applyFill="1" applyBorder="1" applyAlignment="1">
      <alignment horizontal="left"/>
    </xf>
    <xf numFmtId="0" fontId="1" fillId="0" borderId="12" xfId="4" applyFont="1" applyFill="1" applyBorder="1" applyAlignment="1">
      <alignment horizontal="right" vertical="center"/>
    </xf>
    <xf numFmtId="0" fontId="1" fillId="0" borderId="12" xfId="4" applyFill="1" applyBorder="1" applyAlignment="1">
      <alignment horizontal="right" vertical="center"/>
    </xf>
    <xf numFmtId="2" fontId="1" fillId="0" borderId="12" xfId="4" applyNumberFormat="1" applyFill="1" applyBorder="1" applyAlignment="1">
      <alignment horizontal="left"/>
    </xf>
    <xf numFmtId="0" fontId="23" fillId="0" borderId="0" xfId="4" applyFont="1" applyFill="1" applyAlignment="1">
      <alignment horizontal="center"/>
    </xf>
    <xf numFmtId="0" fontId="1" fillId="0" borderId="12" xfId="4" applyFill="1" applyBorder="1" applyAlignment="1">
      <alignment horizontal="right" vertical="center" wrapText="1"/>
    </xf>
    <xf numFmtId="0" fontId="24" fillId="0" borderId="0" xfId="4" applyFont="1" applyFill="1" applyAlignment="1">
      <alignment horizontal="left"/>
    </xf>
    <xf numFmtId="0" fontId="25" fillId="0" borderId="0" xfId="4" applyFont="1" applyFill="1" applyAlignment="1">
      <alignment horizontal="center"/>
    </xf>
    <xf numFmtId="165" fontId="18" fillId="0" borderId="0" xfId="5" applyNumberFormat="1" applyFont="1" applyFill="1"/>
    <xf numFmtId="165" fontId="19" fillId="0" borderId="0" xfId="5" applyNumberFormat="1" applyFont="1" applyFill="1"/>
    <xf numFmtId="0" fontId="1" fillId="0" borderId="14" xfId="4" applyFill="1" applyBorder="1" applyAlignment="1">
      <alignment horizontal="right" wrapText="1"/>
    </xf>
  </cellXfs>
  <cellStyles count="7">
    <cellStyle name="Comma" xfId="1" builtinId="3"/>
    <cellStyle name="Comma 2" xfId="6"/>
    <cellStyle name="Currency" xfId="3" builtinId="4"/>
    <cellStyle name="Currency 2" xfId="5"/>
    <cellStyle name="Normal" xfId="0" builtinId="0"/>
    <cellStyle name="Normal 2" xfId="4"/>
    <cellStyle name="Percent" xfId="2" builtinId="5"/>
  </cellStyles>
  <dxfs count="6"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rgb="FFC00000"/>
      </font>
    </dxf>
    <dxf>
      <fill>
        <patternFill>
          <fgColor rgb="FFFDEE2B"/>
          <bgColor rgb="FFFFC000"/>
        </patternFill>
      </fill>
    </dxf>
    <dxf>
      <fill>
        <patternFill>
          <fgColor rgb="FFCC0000"/>
          <bgColor rgb="FFC00000"/>
        </patternFill>
      </fill>
    </dxf>
  </dxfs>
  <tableStyles count="0" defaultTableStyle="TableStyleMedium9" defaultPivotStyle="PivotStyleLight16"/>
  <colors>
    <mruColors>
      <color rgb="FFFDEE2B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0</xdr:row>
      <xdr:rowOff>110580</xdr:rowOff>
    </xdr:from>
    <xdr:to>
      <xdr:col>9</xdr:col>
      <xdr:colOff>531284</xdr:colOff>
      <xdr:row>6</xdr:row>
      <xdr:rowOff>104775</xdr:rowOff>
    </xdr:to>
    <xdr:pic>
      <xdr:nvPicPr>
        <xdr:cNvPr id="2" name="Picture 1" descr="FCH logo 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8122"/>
        <a:stretch>
          <a:fillRect/>
        </a:stretch>
      </xdr:blipFill>
      <xdr:spPr>
        <a:xfrm>
          <a:off x="5715000" y="310605"/>
          <a:ext cx="2819400" cy="114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B1:W130"/>
  <sheetViews>
    <sheetView zoomScale="90" zoomScaleNormal="90" workbookViewId="0">
      <selection activeCell="E8" sqref="E8"/>
    </sheetView>
  </sheetViews>
  <sheetFormatPr defaultColWidth="9.140625" defaultRowHeight="15"/>
  <cols>
    <col min="1" max="1" width="9.140625" style="10"/>
    <col min="2" max="2" width="1" style="33" customWidth="1"/>
    <col min="3" max="3" width="2.7109375" style="10" customWidth="1"/>
    <col min="4" max="4" width="7.140625" style="10" customWidth="1"/>
    <col min="5" max="5" width="34.7109375" style="10" customWidth="1"/>
    <col min="6" max="6" width="16.5703125" style="10" customWidth="1"/>
    <col min="7" max="7" width="15.5703125" style="10" bestFit="1" customWidth="1"/>
    <col min="8" max="8" width="17" style="10" bestFit="1" customWidth="1"/>
    <col min="9" max="9" width="14" style="10" customWidth="1"/>
    <col min="10" max="10" width="33.140625" style="10" customWidth="1"/>
    <col min="11" max="16384" width="9.140625" style="10"/>
  </cols>
  <sheetData>
    <row r="1" spans="2:23" ht="15" customHeight="1">
      <c r="B1" s="8"/>
      <c r="C1" s="9"/>
      <c r="D1" s="9"/>
      <c r="E1" s="86" t="s">
        <v>123</v>
      </c>
      <c r="F1" s="87"/>
      <c r="G1" s="87"/>
      <c r="H1" s="87"/>
      <c r="I1" s="87"/>
      <c r="J1" s="87"/>
    </row>
    <row r="2" spans="2:23" ht="15" customHeight="1">
      <c r="B2" s="8"/>
      <c r="C2" s="9"/>
      <c r="D2" s="9"/>
      <c r="E2" s="88"/>
      <c r="F2" s="89"/>
      <c r="G2" s="89"/>
      <c r="H2" s="89"/>
      <c r="I2" s="89"/>
      <c r="J2" s="89"/>
    </row>
    <row r="3" spans="2:23" ht="15.75" customHeight="1">
      <c r="B3" s="8"/>
      <c r="C3" s="9"/>
      <c r="D3" s="9"/>
      <c r="E3" s="88"/>
      <c r="F3" s="89"/>
      <c r="G3" s="89"/>
      <c r="H3" s="89"/>
      <c r="I3" s="89"/>
      <c r="J3" s="89"/>
    </row>
    <row r="4" spans="2:23">
      <c r="B4" s="8"/>
      <c r="C4" s="9"/>
      <c r="D4" s="9"/>
      <c r="E4" s="88"/>
      <c r="F4" s="89"/>
      <c r="G4" s="89"/>
      <c r="H4" s="89"/>
      <c r="I4" s="89"/>
      <c r="J4" s="89"/>
    </row>
    <row r="5" spans="2:23">
      <c r="B5" s="8"/>
      <c r="C5" s="9"/>
      <c r="D5" s="8"/>
      <c r="E5" s="88"/>
      <c r="F5" s="89"/>
      <c r="G5" s="89"/>
      <c r="H5" s="89"/>
      <c r="I5" s="89"/>
      <c r="J5" s="89"/>
    </row>
    <row r="6" spans="2:23">
      <c r="B6" s="8"/>
      <c r="C6" s="9"/>
      <c r="D6" s="8"/>
      <c r="E6" s="88"/>
      <c r="F6" s="89"/>
      <c r="G6" s="89"/>
      <c r="H6" s="89"/>
      <c r="I6" s="89"/>
      <c r="J6" s="89"/>
    </row>
    <row r="7" spans="2:23" ht="15.75" thickBot="1">
      <c r="B7" s="8"/>
      <c r="C7" s="9"/>
      <c r="D7" s="8"/>
      <c r="E7" s="90"/>
      <c r="F7" s="91"/>
      <c r="G7" s="91"/>
      <c r="H7" s="91"/>
      <c r="I7" s="91"/>
      <c r="J7" s="91"/>
    </row>
    <row r="8" spans="2:23" ht="15.75" thickBot="1">
      <c r="B8" s="8"/>
      <c r="C8" s="11"/>
      <c r="D8" s="11"/>
      <c r="E8" s="11"/>
      <c r="F8" s="11"/>
      <c r="G8" s="11"/>
      <c r="H8" s="11"/>
      <c r="I8" s="11"/>
      <c r="J8" s="11"/>
      <c r="W8" s="10" t="s">
        <v>42</v>
      </c>
    </row>
    <row r="9" spans="2:23" ht="18">
      <c r="B9" s="7"/>
      <c r="C9" s="9"/>
      <c r="D9" s="9"/>
      <c r="E9" s="43" t="s">
        <v>62</v>
      </c>
      <c r="F9" s="44"/>
      <c r="G9" s="45" t="str">
        <f>F25</f>
        <v>MGA</v>
      </c>
      <c r="H9" s="46" t="s">
        <v>22</v>
      </c>
      <c r="I9" s="46"/>
      <c r="J9" s="47" t="s">
        <v>1</v>
      </c>
      <c r="W9" s="12" t="s">
        <v>49</v>
      </c>
    </row>
    <row r="10" spans="2:23">
      <c r="B10" s="7"/>
      <c r="C10" s="9"/>
      <c r="D10" s="9"/>
      <c r="E10" s="48"/>
      <c r="F10" s="49" t="s">
        <v>23</v>
      </c>
      <c r="G10" s="50">
        <f>F40</f>
        <v>379492100</v>
      </c>
      <c r="H10" s="51">
        <f>G40</f>
        <v>105268.26629680998</v>
      </c>
      <c r="I10" s="51"/>
      <c r="J10" s="52"/>
      <c r="W10" s="12" t="s">
        <v>83</v>
      </c>
    </row>
    <row r="11" spans="2:23" ht="15.75">
      <c r="B11" s="7"/>
      <c r="C11" s="9"/>
      <c r="D11" s="9"/>
      <c r="E11" s="48"/>
      <c r="F11" s="49" t="s">
        <v>24</v>
      </c>
      <c r="G11" s="50">
        <f>SUMIF(H32:H133,"Program",F32:F133)</f>
        <v>345008100</v>
      </c>
      <c r="H11" s="51">
        <f>SUMIF(H32:H133,"Program",G32:G133)</f>
        <v>95702.662968099845</v>
      </c>
      <c r="I11" s="53">
        <f>G11/(G11+G12)</f>
        <v>0.9091311782247905</v>
      </c>
      <c r="J11" s="52" t="s">
        <v>57</v>
      </c>
      <c r="W11" s="12" t="s">
        <v>51</v>
      </c>
    </row>
    <row r="12" spans="2:23" ht="16.5" thickBot="1">
      <c r="B12" s="7"/>
      <c r="C12" s="9"/>
      <c r="D12" s="9"/>
      <c r="E12" s="48"/>
      <c r="F12" s="54" t="s">
        <v>25</v>
      </c>
      <c r="G12" s="55">
        <f>SUMIF(H32:H133,"Administrative",F32:F133)</f>
        <v>34484000</v>
      </c>
      <c r="H12" s="56">
        <f>SUMIF(H32:H133,"Administrative",G32:G133)</f>
        <v>9565.6033287101254</v>
      </c>
      <c r="I12" s="53">
        <f>G12/(G11+G12)</f>
        <v>9.0868821775209552E-2</v>
      </c>
      <c r="J12" s="52" t="s">
        <v>58</v>
      </c>
    </row>
    <row r="13" spans="2:23" ht="15.75">
      <c r="B13" s="7"/>
      <c r="C13" s="9"/>
      <c r="D13" s="9"/>
      <c r="E13" s="48"/>
      <c r="F13" s="57" t="s">
        <v>31</v>
      </c>
      <c r="G13" s="58">
        <f>G10-G11-G12</f>
        <v>0</v>
      </c>
      <c r="H13" s="59">
        <f>H10-H11-H12</f>
        <v>0</v>
      </c>
      <c r="I13" s="51"/>
      <c r="J13" s="52"/>
    </row>
    <row r="14" spans="2:23">
      <c r="B14" s="7"/>
      <c r="C14" s="9"/>
      <c r="D14" s="9"/>
      <c r="E14" s="48"/>
      <c r="F14" s="49"/>
      <c r="G14" s="60"/>
      <c r="H14" s="51"/>
      <c r="I14" s="51"/>
      <c r="J14" s="52"/>
    </row>
    <row r="15" spans="2:23" ht="15.75">
      <c r="B15" s="7"/>
      <c r="C15" s="9"/>
      <c r="D15" s="9"/>
      <c r="E15" s="48"/>
      <c r="F15" s="57" t="s">
        <v>64</v>
      </c>
      <c r="G15" s="96">
        <f>SUM(F28:F30)</f>
        <v>32</v>
      </c>
      <c r="H15" s="96"/>
      <c r="I15" s="51"/>
      <c r="J15" s="52"/>
    </row>
    <row r="16" spans="2:23">
      <c r="B16" s="7"/>
      <c r="C16" s="9"/>
      <c r="D16" s="9"/>
      <c r="E16" s="61"/>
      <c r="F16" s="49" t="s">
        <v>26</v>
      </c>
      <c r="G16" s="50">
        <f>G11/(F28+F29+F30)</f>
        <v>10781503.125</v>
      </c>
      <c r="H16" s="51">
        <f>H11/(F28+F29+F30)</f>
        <v>2990.7082177531202</v>
      </c>
      <c r="I16" s="51"/>
      <c r="J16" s="52"/>
    </row>
    <row r="17" spans="2:10">
      <c r="B17" s="7"/>
      <c r="C17" s="9"/>
      <c r="D17" s="9"/>
      <c r="E17" s="61"/>
      <c r="F17" s="49" t="s">
        <v>27</v>
      </c>
      <c r="G17" s="50">
        <f>(G11+G12)/(F28+F29+F30)</f>
        <v>11859128.125</v>
      </c>
      <c r="H17" s="51">
        <f>(H11+H12)/(F28+F29+F30)</f>
        <v>3289.6333217753117</v>
      </c>
      <c r="I17" s="51"/>
      <c r="J17" s="52"/>
    </row>
    <row r="18" spans="2:10" ht="15" customHeight="1">
      <c r="B18" s="7"/>
      <c r="C18" s="9"/>
      <c r="D18" s="9"/>
      <c r="E18" s="62"/>
      <c r="F18" s="63"/>
      <c r="G18" s="63"/>
      <c r="H18" s="63"/>
      <c r="I18" s="63"/>
      <c r="J18" s="64"/>
    </row>
    <row r="19" spans="2:10" ht="15" customHeight="1">
      <c r="B19" s="7"/>
      <c r="C19" s="9"/>
      <c r="D19" s="9"/>
      <c r="E19" s="92" t="str">
        <f>W8</f>
        <v>Raised by Covenant Partner</v>
      </c>
      <c r="F19" s="93"/>
      <c r="G19" s="50">
        <f ca="1">SUMIF($H$33:$I$41,E19,F$33:F$41)</f>
        <v>180250000</v>
      </c>
      <c r="H19" s="65">
        <f ca="1">G19/SUM($G$19:$G$21)</f>
        <v>0.48278823127016024</v>
      </c>
      <c r="I19" s="66"/>
      <c r="J19" s="67"/>
    </row>
    <row r="20" spans="2:10">
      <c r="B20" s="7"/>
      <c r="C20" s="9"/>
      <c r="D20" s="9"/>
      <c r="E20" s="92" t="str">
        <f>W9</f>
        <v>Mortgage repayments</v>
      </c>
      <c r="F20" s="93"/>
      <c r="G20" s="50">
        <f>F39</f>
        <v>193102100</v>
      </c>
      <c r="H20" s="65">
        <f t="shared" ref="H20:H21" ca="1" si="0">G20/SUM($G$19:$G$21)</f>
        <v>0.51721176872983976</v>
      </c>
      <c r="I20" s="66"/>
      <c r="J20" s="67"/>
    </row>
    <row r="21" spans="2:10" ht="15.75" thickBot="1">
      <c r="B21" s="7"/>
      <c r="C21" s="9"/>
      <c r="D21" s="9"/>
      <c r="E21" s="94" t="str">
        <f>W10</f>
        <v>Raised Internationally</v>
      </c>
      <c r="F21" s="95"/>
      <c r="G21" s="55">
        <f ca="1">SUMIF($H$33:$I$41,E21,F$33:F$41)</f>
        <v>0</v>
      </c>
      <c r="H21" s="68">
        <f t="shared" ca="1" si="0"/>
        <v>0</v>
      </c>
      <c r="I21" s="69"/>
      <c r="J21" s="70"/>
    </row>
    <row r="22" spans="2:10" ht="15.75" customHeight="1" thickBot="1">
      <c r="B22" s="7"/>
      <c r="C22" s="9"/>
      <c r="D22" s="9"/>
      <c r="E22" s="13"/>
      <c r="F22" s="9"/>
      <c r="G22" s="9"/>
      <c r="H22" s="9"/>
      <c r="I22" s="9"/>
      <c r="J22" s="9"/>
    </row>
    <row r="23" spans="2:10" ht="16.5" thickBot="1">
      <c r="B23" s="7"/>
      <c r="C23" s="9"/>
      <c r="D23" s="9"/>
      <c r="E23" s="78" t="s">
        <v>63</v>
      </c>
      <c r="F23" s="79"/>
      <c r="G23" s="9"/>
      <c r="H23" s="78" t="s">
        <v>16</v>
      </c>
      <c r="I23" s="79"/>
      <c r="J23" s="9"/>
    </row>
    <row r="24" spans="2:10" ht="15.75">
      <c r="B24" s="7"/>
      <c r="C24" s="11"/>
      <c r="D24" s="9"/>
      <c r="E24" s="15" t="s">
        <v>37</v>
      </c>
      <c r="F24" s="1" t="s">
        <v>66</v>
      </c>
      <c r="G24" s="9"/>
      <c r="H24" s="80" t="s">
        <v>17</v>
      </c>
      <c r="I24" s="81"/>
      <c r="J24" s="9"/>
    </row>
    <row r="25" spans="2:10" ht="15.75">
      <c r="B25" s="7"/>
      <c r="C25" s="9"/>
      <c r="D25" s="9"/>
      <c r="E25" s="15" t="s">
        <v>28</v>
      </c>
      <c r="F25" s="1" t="s">
        <v>67</v>
      </c>
      <c r="G25" s="9"/>
      <c r="H25" s="82" t="s">
        <v>18</v>
      </c>
      <c r="I25" s="83"/>
      <c r="J25" s="9"/>
    </row>
    <row r="26" spans="2:10" ht="16.5" thickBot="1">
      <c r="B26" s="7"/>
      <c r="C26" s="9"/>
      <c r="D26" s="9"/>
      <c r="E26" s="15" t="s">
        <v>38</v>
      </c>
      <c r="F26" s="2">
        <v>3605</v>
      </c>
      <c r="G26" s="9"/>
      <c r="H26" s="84" t="s">
        <v>29</v>
      </c>
      <c r="I26" s="85"/>
      <c r="J26" s="9"/>
    </row>
    <row r="27" spans="2:10" ht="15.75" customHeight="1">
      <c r="B27" s="7"/>
      <c r="C27" s="9"/>
      <c r="D27" s="9"/>
      <c r="E27" s="15"/>
      <c r="F27" s="16"/>
      <c r="G27" s="9"/>
      <c r="H27" s="9"/>
      <c r="I27" s="9"/>
      <c r="J27" s="9"/>
    </row>
    <row r="28" spans="2:10">
      <c r="B28" s="7"/>
      <c r="C28" s="9"/>
      <c r="D28" s="9"/>
      <c r="E28" s="15" t="s">
        <v>34</v>
      </c>
      <c r="F28" s="3">
        <v>30</v>
      </c>
      <c r="G28" s="9"/>
      <c r="H28" s="9"/>
      <c r="I28" s="9"/>
      <c r="J28" s="9"/>
    </row>
    <row r="29" spans="2:10">
      <c r="B29" s="7"/>
      <c r="C29" s="9"/>
      <c r="D29" s="9"/>
      <c r="E29" s="15" t="s">
        <v>35</v>
      </c>
      <c r="F29" s="3">
        <v>2</v>
      </c>
      <c r="G29" s="9"/>
      <c r="H29" s="9"/>
      <c r="I29" s="9"/>
      <c r="J29" s="9"/>
    </row>
    <row r="30" spans="2:10" ht="15.75" thickBot="1">
      <c r="B30" s="7"/>
      <c r="C30" s="9"/>
      <c r="D30" s="9"/>
      <c r="E30" s="17" t="s">
        <v>36</v>
      </c>
      <c r="F30" s="4">
        <v>0</v>
      </c>
      <c r="G30" s="9"/>
      <c r="H30" s="9"/>
      <c r="I30" s="9"/>
      <c r="J30" s="9"/>
    </row>
    <row r="31" spans="2:10">
      <c r="B31" s="7"/>
      <c r="C31" s="9"/>
      <c r="D31" s="9"/>
      <c r="E31" s="13"/>
      <c r="F31" s="9"/>
      <c r="G31" s="9"/>
      <c r="H31" s="9"/>
      <c r="I31" s="9"/>
      <c r="J31" s="9"/>
    </row>
    <row r="32" spans="2:10" ht="20.25">
      <c r="B32" s="7"/>
      <c r="C32" s="18" t="s">
        <v>2</v>
      </c>
      <c r="D32" s="19"/>
      <c r="E32" s="20"/>
      <c r="F32" s="7"/>
      <c r="G32" s="7"/>
      <c r="H32" s="7"/>
      <c r="I32" s="7"/>
      <c r="J32" s="7"/>
    </row>
    <row r="33" spans="2:10" ht="15.75">
      <c r="B33" s="7"/>
      <c r="C33" s="21"/>
      <c r="D33" s="21"/>
      <c r="E33" s="21"/>
      <c r="F33" s="22" t="str">
        <f>F25</f>
        <v>MGA</v>
      </c>
      <c r="G33" s="23" t="s">
        <v>22</v>
      </c>
      <c r="H33" s="77" t="s">
        <v>39</v>
      </c>
      <c r="I33" s="77"/>
      <c r="J33" s="24" t="s">
        <v>1</v>
      </c>
    </row>
    <row r="34" spans="2:10" ht="15.75">
      <c r="B34" s="7"/>
      <c r="C34" s="25" t="s">
        <v>50</v>
      </c>
      <c r="D34" s="21"/>
      <c r="E34" s="21"/>
      <c r="F34" s="5">
        <v>1000000</v>
      </c>
      <c r="G34" s="5">
        <f>IF($F$26=0,0,F34/$F$26)</f>
        <v>277.39251040221916</v>
      </c>
      <c r="H34" s="97" t="s">
        <v>51</v>
      </c>
      <c r="I34" s="97"/>
      <c r="J34" s="24"/>
    </row>
    <row r="35" spans="2:10">
      <c r="B35" s="7"/>
      <c r="C35" s="26" t="s">
        <v>13</v>
      </c>
      <c r="D35" s="19"/>
      <c r="E35" s="19"/>
      <c r="F35" s="5">
        <v>0</v>
      </c>
      <c r="G35" s="5">
        <f t="shared" ref="G35:G39" si="1">IF($F$26=0,0,F35/$F$26)</f>
        <v>0</v>
      </c>
      <c r="H35" s="97" t="s">
        <v>42</v>
      </c>
      <c r="I35" s="97"/>
      <c r="J35" s="27"/>
    </row>
    <row r="36" spans="2:10">
      <c r="B36" s="7"/>
      <c r="C36" s="26" t="s">
        <v>14</v>
      </c>
      <c r="D36" s="19"/>
      <c r="E36" s="19"/>
      <c r="F36" s="5">
        <v>0</v>
      </c>
      <c r="G36" s="5">
        <f t="shared" si="1"/>
        <v>0</v>
      </c>
      <c r="H36" s="97" t="s">
        <v>42</v>
      </c>
      <c r="I36" s="97"/>
      <c r="J36" s="27"/>
    </row>
    <row r="37" spans="2:10">
      <c r="B37" s="7"/>
      <c r="C37" s="7" t="s">
        <v>15</v>
      </c>
      <c r="D37" s="19"/>
      <c r="E37" s="19"/>
      <c r="F37" s="5">
        <f>((30000*20*6)+(100000*4*10)+(30000*2*9))-3000000</f>
        <v>5140000</v>
      </c>
      <c r="G37" s="5">
        <f t="shared" si="1"/>
        <v>1425.7975034674064</v>
      </c>
      <c r="H37" s="97" t="s">
        <v>49</v>
      </c>
      <c r="I37" s="97"/>
      <c r="J37" s="27"/>
    </row>
    <row r="38" spans="2:10">
      <c r="B38" s="7"/>
      <c r="C38" s="71" t="s">
        <v>80</v>
      </c>
      <c r="D38" s="102"/>
      <c r="E38" s="102"/>
      <c r="F38" s="5">
        <f>50000*F26</f>
        <v>180250000</v>
      </c>
      <c r="G38" s="5">
        <f t="shared" si="1"/>
        <v>50000</v>
      </c>
      <c r="H38" s="97" t="s">
        <v>42</v>
      </c>
      <c r="I38" s="97"/>
      <c r="J38" s="27"/>
    </row>
    <row r="39" spans="2:10">
      <c r="B39" s="7"/>
      <c r="C39" s="7" t="s">
        <v>81</v>
      </c>
      <c r="D39" s="19"/>
      <c r="E39" s="19"/>
      <c r="F39" s="5">
        <f>373352100-180250000</f>
        <v>193102100</v>
      </c>
      <c r="G39" s="5">
        <f t="shared" si="1"/>
        <v>53565.076282940361</v>
      </c>
      <c r="H39" s="97" t="s">
        <v>43</v>
      </c>
      <c r="I39" s="97"/>
      <c r="J39" s="75" t="s">
        <v>122</v>
      </c>
    </row>
    <row r="40" spans="2:10" ht="17.25">
      <c r="B40" s="7"/>
      <c r="C40" s="19"/>
      <c r="D40" s="19"/>
      <c r="E40" s="28" t="s">
        <v>0</v>
      </c>
      <c r="F40" s="29">
        <f>SUM(F34:F39)</f>
        <v>379492100</v>
      </c>
      <c r="G40" s="30">
        <f>SUM(G34:G39)</f>
        <v>105268.26629680998</v>
      </c>
      <c r="H40" s="97"/>
      <c r="I40" s="97"/>
      <c r="J40" s="27"/>
    </row>
    <row r="41" spans="2:10">
      <c r="B41" s="7"/>
      <c r="C41" s="19"/>
      <c r="D41" s="19"/>
      <c r="E41" s="7"/>
      <c r="F41" s="7"/>
      <c r="G41" s="7"/>
      <c r="H41" s="7"/>
      <c r="I41" s="7"/>
      <c r="J41" s="7"/>
    </row>
    <row r="42" spans="2:10" ht="20.25">
      <c r="B42" s="7"/>
      <c r="C42" s="18" t="s">
        <v>3</v>
      </c>
      <c r="D42" s="19"/>
      <c r="E42" s="19"/>
      <c r="F42" s="31"/>
      <c r="G42" s="31"/>
      <c r="H42" s="31"/>
      <c r="I42" s="31"/>
      <c r="J42" s="31"/>
    </row>
    <row r="43" spans="2:10" ht="15.75">
      <c r="B43" s="7"/>
      <c r="C43" s="32"/>
      <c r="D43" s="19"/>
      <c r="E43" s="19"/>
      <c r="F43" s="31"/>
      <c r="G43" s="31"/>
      <c r="H43" s="31"/>
      <c r="I43" s="31"/>
      <c r="J43" s="31"/>
    </row>
    <row r="44" spans="2:10" ht="15.75">
      <c r="B44" s="7"/>
      <c r="C44" s="32" t="s">
        <v>30</v>
      </c>
      <c r="D44" s="19"/>
      <c r="E44" s="19"/>
      <c r="F44" s="22" t="str">
        <f>F25</f>
        <v>MGA</v>
      </c>
      <c r="G44" s="23" t="s">
        <v>22</v>
      </c>
      <c r="H44" s="23" t="s">
        <v>39</v>
      </c>
      <c r="I44" s="77" t="s">
        <v>1</v>
      </c>
      <c r="J44" s="77"/>
    </row>
    <row r="45" spans="2:10">
      <c r="B45" s="7"/>
      <c r="C45" s="14"/>
      <c r="D45" s="7" t="s">
        <v>20</v>
      </c>
      <c r="E45" s="7"/>
      <c r="F45" s="6">
        <v>0</v>
      </c>
      <c r="G45" s="6">
        <f>IF($F$26=0,0,F45/$F$26)</f>
        <v>0</v>
      </c>
      <c r="H45" s="6" t="s">
        <v>41</v>
      </c>
      <c r="I45" s="76"/>
      <c r="J45" s="76"/>
    </row>
    <row r="46" spans="2:10">
      <c r="B46" s="7"/>
      <c r="C46" s="14"/>
      <c r="D46" s="7" t="s">
        <v>10</v>
      </c>
      <c r="E46" s="7"/>
      <c r="F46" s="6">
        <v>5000000</v>
      </c>
      <c r="G46" s="72">
        <f t="shared" ref="G46:G52" si="2">IF($F$26=0,0,F46/$F$26)</f>
        <v>1386.9625520110958</v>
      </c>
      <c r="H46" s="6" t="s">
        <v>41</v>
      </c>
      <c r="I46" s="76"/>
      <c r="J46" s="76"/>
    </row>
    <row r="47" spans="2:10">
      <c r="B47" s="7"/>
      <c r="C47" s="14"/>
      <c r="D47" s="25" t="s">
        <v>52</v>
      </c>
      <c r="E47" s="25"/>
      <c r="F47" s="6">
        <v>0</v>
      </c>
      <c r="G47" s="72">
        <f t="shared" si="2"/>
        <v>0</v>
      </c>
      <c r="H47" s="6" t="s">
        <v>41</v>
      </c>
      <c r="I47" s="76"/>
      <c r="J47" s="76"/>
    </row>
    <row r="48" spans="2:10" s="33" customFormat="1">
      <c r="B48" s="7"/>
      <c r="C48" s="7"/>
      <c r="D48" s="25" t="s">
        <v>53</v>
      </c>
      <c r="E48" s="25"/>
      <c r="F48" s="6">
        <v>0</v>
      </c>
      <c r="G48" s="72">
        <f t="shared" si="2"/>
        <v>0</v>
      </c>
      <c r="H48" s="6" t="s">
        <v>41</v>
      </c>
      <c r="I48" s="76"/>
      <c r="J48" s="76"/>
    </row>
    <row r="49" spans="2:10">
      <c r="B49" s="7"/>
      <c r="C49" s="19"/>
      <c r="D49" s="25" t="s">
        <v>54</v>
      </c>
      <c r="E49" s="25"/>
      <c r="F49" s="6">
        <v>0</v>
      </c>
      <c r="G49" s="72">
        <f t="shared" si="2"/>
        <v>0</v>
      </c>
      <c r="H49" s="6" t="s">
        <v>41</v>
      </c>
      <c r="I49" s="76"/>
      <c r="J49" s="76"/>
    </row>
    <row r="50" spans="2:10">
      <c r="B50" s="7"/>
      <c r="C50" s="19"/>
      <c r="D50" s="25" t="s">
        <v>59</v>
      </c>
      <c r="E50" s="25"/>
      <c r="F50" s="6">
        <v>0</v>
      </c>
      <c r="G50" s="72">
        <f t="shared" si="2"/>
        <v>0</v>
      </c>
      <c r="H50" s="6" t="s">
        <v>40</v>
      </c>
      <c r="I50" s="76"/>
      <c r="J50" s="76"/>
    </row>
    <row r="51" spans="2:10">
      <c r="B51" s="7"/>
      <c r="C51" s="19"/>
      <c r="D51" s="25" t="s">
        <v>60</v>
      </c>
      <c r="E51" s="25"/>
      <c r="F51" s="6">
        <v>0</v>
      </c>
      <c r="G51" s="72">
        <f t="shared" si="2"/>
        <v>0</v>
      </c>
      <c r="H51" s="6" t="s">
        <v>40</v>
      </c>
      <c r="I51" s="76"/>
      <c r="J51" s="76"/>
    </row>
    <row r="52" spans="2:10">
      <c r="B52" s="7"/>
      <c r="C52" s="19"/>
      <c r="D52" s="7" t="s">
        <v>19</v>
      </c>
      <c r="E52" s="7" t="s">
        <v>84</v>
      </c>
      <c r="F52" s="6">
        <v>5000000</v>
      </c>
      <c r="G52" s="72">
        <f t="shared" si="2"/>
        <v>1386.9625520110958</v>
      </c>
      <c r="H52" s="6" t="s">
        <v>41</v>
      </c>
      <c r="I52" s="76"/>
      <c r="J52" s="76"/>
    </row>
    <row r="53" spans="2:10" ht="17.25">
      <c r="B53" s="7"/>
      <c r="C53" s="19"/>
      <c r="D53" s="19"/>
      <c r="E53" s="28" t="s">
        <v>32</v>
      </c>
      <c r="F53" s="34">
        <f>SUM(F45:F52)</f>
        <v>10000000</v>
      </c>
      <c r="G53" s="35">
        <f>SUM(G45:G52)</f>
        <v>2773.9251040221916</v>
      </c>
      <c r="H53" s="35"/>
      <c r="I53" s="98"/>
      <c r="J53" s="98"/>
    </row>
    <row r="54" spans="2:10">
      <c r="B54" s="7"/>
      <c r="C54" s="19"/>
      <c r="D54" s="19"/>
      <c r="E54" s="13"/>
      <c r="F54" s="36"/>
      <c r="G54" s="19"/>
      <c r="H54" s="19"/>
      <c r="I54" s="99"/>
      <c r="J54" s="99"/>
    </row>
    <row r="55" spans="2:10" ht="15.75">
      <c r="B55" s="7"/>
      <c r="C55" s="32" t="s">
        <v>82</v>
      </c>
      <c r="D55" s="7"/>
      <c r="E55" s="7"/>
      <c r="F55" s="22" t="str">
        <f>F25</f>
        <v>MGA</v>
      </c>
      <c r="G55" s="23" t="s">
        <v>22</v>
      </c>
      <c r="H55" s="23" t="s">
        <v>39</v>
      </c>
      <c r="I55" s="77" t="s">
        <v>1</v>
      </c>
      <c r="J55" s="77"/>
    </row>
    <row r="56" spans="2:10">
      <c r="B56" s="7"/>
      <c r="C56" s="7"/>
      <c r="D56" s="7" t="s">
        <v>44</v>
      </c>
      <c r="E56" s="7"/>
      <c r="F56" s="6">
        <f>(10000270*30)</f>
        <v>300008100</v>
      </c>
      <c r="G56" s="6">
        <f>IF($F$26=0,0,F56/$F$26)</f>
        <v>83220</v>
      </c>
      <c r="H56" s="6" t="s">
        <v>41</v>
      </c>
      <c r="I56" s="76" t="s">
        <v>121</v>
      </c>
      <c r="J56" s="76"/>
    </row>
    <row r="57" spans="2:10">
      <c r="B57" s="7"/>
      <c r="C57" s="7"/>
      <c r="D57" s="7" t="s">
        <v>45</v>
      </c>
      <c r="E57" s="7"/>
      <c r="F57" s="6">
        <f>5000000*2</f>
        <v>10000000</v>
      </c>
      <c r="G57" s="72">
        <f t="shared" ref="G57:G58" si="3">IF($F$26=0,0,F57/$F$26)</f>
        <v>2773.9251040221916</v>
      </c>
      <c r="H57" s="6" t="s">
        <v>41</v>
      </c>
      <c r="I57" s="76"/>
      <c r="J57" s="76"/>
    </row>
    <row r="58" spans="2:10">
      <c r="B58" s="7"/>
      <c r="C58" s="7"/>
      <c r="D58" s="7" t="s">
        <v>46</v>
      </c>
      <c r="E58" s="7"/>
      <c r="F58" s="6">
        <v>0</v>
      </c>
      <c r="G58" s="72">
        <f t="shared" si="3"/>
        <v>0</v>
      </c>
      <c r="H58" s="6" t="s">
        <v>41</v>
      </c>
      <c r="I58" s="76"/>
      <c r="J58" s="76"/>
    </row>
    <row r="59" spans="2:10">
      <c r="B59" s="7"/>
      <c r="C59" s="7"/>
      <c r="D59" s="19"/>
      <c r="E59" s="37" t="s">
        <v>21</v>
      </c>
      <c r="F59" s="38">
        <f>SUM(F56:F58)</f>
        <v>310008100</v>
      </c>
      <c r="G59" s="39">
        <f>SUM(G56:G58)</f>
        <v>85993.925104022186</v>
      </c>
      <c r="H59" s="39"/>
      <c r="I59" s="100"/>
      <c r="J59" s="100"/>
    </row>
    <row r="60" spans="2:10" ht="15.75">
      <c r="B60" s="7"/>
      <c r="C60" s="32"/>
      <c r="D60" s="19"/>
      <c r="E60" s="19"/>
      <c r="F60" s="31"/>
      <c r="G60" s="31"/>
      <c r="H60" s="31"/>
      <c r="I60" s="101"/>
      <c r="J60" s="101"/>
    </row>
    <row r="61" spans="2:10" ht="15.75">
      <c r="B61" s="7"/>
      <c r="C61" s="32" t="s">
        <v>47</v>
      </c>
      <c r="D61" s="20"/>
      <c r="E61" s="20"/>
      <c r="F61" s="22" t="str">
        <f>F25</f>
        <v>MGA</v>
      </c>
      <c r="G61" s="22" t="s">
        <v>22</v>
      </c>
      <c r="H61" s="23" t="s">
        <v>39</v>
      </c>
      <c r="I61" s="77" t="s">
        <v>1</v>
      </c>
      <c r="J61" s="77"/>
    </row>
    <row r="62" spans="2:10">
      <c r="B62" s="7"/>
      <c r="C62" s="7"/>
      <c r="D62" s="7" t="s">
        <v>4</v>
      </c>
      <c r="E62" s="7"/>
      <c r="F62" s="6">
        <f>100000*12</f>
        <v>1200000</v>
      </c>
      <c r="G62" s="6">
        <f>IF($F$26=0,0,(F62/$F$26))</f>
        <v>332.87101248266299</v>
      </c>
      <c r="H62" s="6" t="s">
        <v>41</v>
      </c>
      <c r="I62" s="76" t="s">
        <v>76</v>
      </c>
      <c r="J62" s="76"/>
    </row>
    <row r="63" spans="2:10">
      <c r="B63" s="7"/>
      <c r="C63" s="7"/>
      <c r="D63" s="7" t="s">
        <v>9</v>
      </c>
      <c r="E63" s="7"/>
      <c r="F63" s="6">
        <f>60000*12</f>
        <v>720000</v>
      </c>
      <c r="G63" s="72">
        <f t="shared" ref="G63:G73" si="4">IF($F$26=0,0,(F63/$F$26))</f>
        <v>199.72260748959778</v>
      </c>
      <c r="H63" s="6" t="s">
        <v>40</v>
      </c>
      <c r="I63" s="76"/>
      <c r="J63" s="76"/>
    </row>
    <row r="64" spans="2:10">
      <c r="B64" s="7"/>
      <c r="C64" s="7"/>
      <c r="D64" s="7" t="s">
        <v>5</v>
      </c>
      <c r="E64" s="7"/>
      <c r="F64" s="6">
        <f>140000*12</f>
        <v>1680000</v>
      </c>
      <c r="G64" s="72">
        <f t="shared" si="4"/>
        <v>466.01941747572818</v>
      </c>
      <c r="H64" s="6" t="s">
        <v>40</v>
      </c>
      <c r="I64" s="76"/>
      <c r="J64" s="76"/>
    </row>
    <row r="65" spans="2:10">
      <c r="B65" s="7"/>
      <c r="C65" s="7"/>
      <c r="D65" s="7" t="s">
        <v>6</v>
      </c>
      <c r="E65" s="7"/>
      <c r="F65" s="6">
        <f>(50000*12)</f>
        <v>600000</v>
      </c>
      <c r="G65" s="72">
        <f t="shared" si="4"/>
        <v>166.4355062413315</v>
      </c>
      <c r="H65" s="6" t="s">
        <v>41</v>
      </c>
      <c r="I65" s="76"/>
      <c r="J65" s="76"/>
    </row>
    <row r="66" spans="2:10">
      <c r="B66" s="7"/>
      <c r="C66" s="19"/>
      <c r="D66" s="7" t="s">
        <v>7</v>
      </c>
      <c r="E66" s="7"/>
      <c r="F66" s="6">
        <f>200000*12</f>
        <v>2400000</v>
      </c>
      <c r="G66" s="72">
        <f t="shared" si="4"/>
        <v>665.74202496532598</v>
      </c>
      <c r="H66" s="6" t="s">
        <v>40</v>
      </c>
      <c r="I66" s="76"/>
      <c r="J66" s="76"/>
    </row>
    <row r="67" spans="2:10">
      <c r="B67" s="7"/>
      <c r="C67" s="19"/>
      <c r="D67" s="7" t="s">
        <v>8</v>
      </c>
      <c r="E67" s="7"/>
      <c r="F67" s="6">
        <f>200000*12</f>
        <v>2400000</v>
      </c>
      <c r="G67" s="72">
        <f t="shared" si="4"/>
        <v>665.74202496532598</v>
      </c>
      <c r="H67" s="6" t="s">
        <v>41</v>
      </c>
      <c r="I67" s="76" t="s">
        <v>78</v>
      </c>
      <c r="J67" s="76"/>
    </row>
    <row r="68" spans="2:10">
      <c r="B68" s="7"/>
      <c r="C68" s="7"/>
      <c r="D68" s="7" t="s">
        <v>11</v>
      </c>
      <c r="E68" s="7"/>
      <c r="F68" s="6">
        <v>0</v>
      </c>
      <c r="G68" s="72">
        <f t="shared" si="4"/>
        <v>0</v>
      </c>
      <c r="H68" s="6" t="s">
        <v>40</v>
      </c>
      <c r="I68" s="76"/>
      <c r="J68" s="76"/>
    </row>
    <row r="69" spans="2:10">
      <c r="B69" s="7"/>
      <c r="C69" s="7"/>
      <c r="D69" s="7" t="s">
        <v>12</v>
      </c>
      <c r="E69" s="7"/>
      <c r="F69" s="6">
        <f>2*1000000</f>
        <v>2000000</v>
      </c>
      <c r="G69" s="72">
        <f t="shared" si="4"/>
        <v>554.78502080443832</v>
      </c>
      <c r="H69" s="6" t="s">
        <v>41</v>
      </c>
      <c r="I69" s="76" t="s">
        <v>77</v>
      </c>
      <c r="J69" s="76"/>
    </row>
    <row r="70" spans="2:10">
      <c r="B70" s="7"/>
      <c r="C70" s="7"/>
      <c r="D70" s="7" t="s">
        <v>33</v>
      </c>
      <c r="E70" s="7"/>
      <c r="F70" s="6">
        <f>(7000*12)+(200000*3)</f>
        <v>684000</v>
      </c>
      <c r="G70" s="72">
        <f t="shared" si="4"/>
        <v>189.73647711511788</v>
      </c>
      <c r="H70" s="6" t="s">
        <v>40</v>
      </c>
      <c r="I70" s="76"/>
      <c r="J70" s="76"/>
    </row>
    <row r="71" spans="2:10">
      <c r="B71" s="7"/>
      <c r="C71" s="7"/>
      <c r="D71" s="7" t="s">
        <v>48</v>
      </c>
      <c r="E71" s="7"/>
      <c r="F71" s="6">
        <f>5000000*1</f>
        <v>5000000</v>
      </c>
      <c r="G71" s="72">
        <f t="shared" si="4"/>
        <v>1386.9625520110958</v>
      </c>
      <c r="H71" s="74" t="s">
        <v>40</v>
      </c>
      <c r="I71" s="76"/>
      <c r="J71" s="76"/>
    </row>
    <row r="72" spans="2:10">
      <c r="B72" s="7"/>
      <c r="C72" s="7"/>
      <c r="D72" s="7" t="s">
        <v>19</v>
      </c>
      <c r="E72" s="7" t="s">
        <v>71</v>
      </c>
      <c r="F72" s="6">
        <f>100000*12</f>
        <v>1200000</v>
      </c>
      <c r="G72" s="72">
        <f t="shared" si="4"/>
        <v>332.87101248266299</v>
      </c>
      <c r="H72" s="6" t="s">
        <v>40</v>
      </c>
      <c r="I72" s="76"/>
      <c r="J72" s="76"/>
    </row>
    <row r="73" spans="2:10">
      <c r="B73" s="7"/>
      <c r="C73" s="7"/>
      <c r="D73" s="7" t="s">
        <v>19</v>
      </c>
      <c r="E73" s="7" t="s">
        <v>79</v>
      </c>
      <c r="F73" s="6">
        <f>300000*12</f>
        <v>3600000</v>
      </c>
      <c r="G73" s="72">
        <f t="shared" si="4"/>
        <v>998.61303744798886</v>
      </c>
      <c r="H73" s="6" t="s">
        <v>41</v>
      </c>
      <c r="I73" s="76"/>
      <c r="J73" s="76"/>
    </row>
    <row r="74" spans="2:10" ht="17.25">
      <c r="B74" s="7"/>
      <c r="C74" s="19"/>
      <c r="D74" s="19"/>
      <c r="E74" s="28" t="s">
        <v>55</v>
      </c>
      <c r="F74" s="34">
        <f>SUM(F62:F73)</f>
        <v>21484000</v>
      </c>
      <c r="G74" s="35">
        <f>SUM(G62:G73)</f>
        <v>5959.5006934812764</v>
      </c>
      <c r="H74" s="35"/>
      <c r="I74" s="98"/>
      <c r="J74" s="98"/>
    </row>
    <row r="75" spans="2:10">
      <c r="B75" s="7"/>
      <c r="C75" s="19"/>
      <c r="D75" s="7"/>
      <c r="E75" s="7"/>
      <c r="F75" s="6"/>
      <c r="G75" s="6"/>
      <c r="H75" s="6"/>
      <c r="I75" s="76"/>
      <c r="J75" s="76"/>
    </row>
    <row r="76" spans="2:10" ht="15.75">
      <c r="B76" s="7"/>
      <c r="C76" s="32" t="s">
        <v>65</v>
      </c>
      <c r="D76" s="7"/>
      <c r="E76" s="7"/>
      <c r="F76" s="22" t="str">
        <f>F25</f>
        <v>MGA</v>
      </c>
      <c r="G76" s="22" t="s">
        <v>22</v>
      </c>
      <c r="H76" s="23" t="s">
        <v>39</v>
      </c>
      <c r="I76" s="77" t="s">
        <v>1</v>
      </c>
      <c r="J76" s="77"/>
    </row>
    <row r="77" spans="2:10">
      <c r="B77" s="7"/>
      <c r="C77" s="7"/>
      <c r="D77" s="7"/>
      <c r="E77" s="7" t="s">
        <v>61</v>
      </c>
      <c r="F77" s="6">
        <f>1400000*12</f>
        <v>16800000</v>
      </c>
      <c r="G77" s="6">
        <f>IF($F$26=0,0,(F77/$F$26))</f>
        <v>4660.1941747572819</v>
      </c>
      <c r="H77" s="6" t="s">
        <v>40</v>
      </c>
      <c r="I77" s="76" t="s">
        <v>73</v>
      </c>
      <c r="J77" s="76"/>
    </row>
    <row r="78" spans="2:10">
      <c r="B78" s="7"/>
      <c r="C78" s="7"/>
      <c r="D78" s="7"/>
      <c r="E78" s="7" t="s">
        <v>75</v>
      </c>
      <c r="F78" s="6">
        <f>500000*12</f>
        <v>6000000</v>
      </c>
      <c r="G78" s="72">
        <f t="shared" ref="G78:G81" si="5">IF($F$26=0,0,(F78/$F$26))</f>
        <v>1664.355062413315</v>
      </c>
      <c r="H78" s="74" t="s">
        <v>40</v>
      </c>
      <c r="I78" s="76" t="s">
        <v>73</v>
      </c>
      <c r="J78" s="76"/>
    </row>
    <row r="79" spans="2:10">
      <c r="B79" s="7"/>
      <c r="C79" s="7"/>
      <c r="D79" s="7"/>
      <c r="E79" s="7" t="s">
        <v>68</v>
      </c>
      <c r="F79" s="6">
        <f>(600000*1*12)+(600000*1*5)</f>
        <v>10200000</v>
      </c>
      <c r="G79" s="72">
        <f t="shared" si="5"/>
        <v>2829.4036061026354</v>
      </c>
      <c r="H79" s="6" t="s">
        <v>41</v>
      </c>
      <c r="I79" s="76" t="s">
        <v>72</v>
      </c>
      <c r="J79" s="76"/>
    </row>
    <row r="80" spans="2:10">
      <c r="B80" s="7"/>
      <c r="C80" s="7"/>
      <c r="D80" s="7"/>
      <c r="E80" s="7" t="s">
        <v>69</v>
      </c>
      <c r="F80" s="6">
        <f>700000*1*2</f>
        <v>1400000</v>
      </c>
      <c r="G80" s="72">
        <f t="shared" si="5"/>
        <v>388.34951456310682</v>
      </c>
      <c r="H80" s="73" t="s">
        <v>41</v>
      </c>
      <c r="I80" s="76" t="s">
        <v>74</v>
      </c>
      <c r="J80" s="76"/>
    </row>
    <row r="81" spans="2:10">
      <c r="B81" s="7"/>
      <c r="C81" s="7"/>
      <c r="D81" s="7"/>
      <c r="E81" s="7" t="s">
        <v>70</v>
      </c>
      <c r="F81" s="6">
        <f>600000*1*6</f>
        <v>3600000</v>
      </c>
      <c r="G81" s="72">
        <f t="shared" si="5"/>
        <v>998.61303744798886</v>
      </c>
      <c r="H81" s="73" t="s">
        <v>41</v>
      </c>
      <c r="I81" s="76" t="s">
        <v>74</v>
      </c>
      <c r="J81" s="76"/>
    </row>
    <row r="82" spans="2:10" ht="17.25">
      <c r="B82" s="7"/>
      <c r="C82" s="7"/>
      <c r="D82" s="7"/>
      <c r="E82" s="28" t="s">
        <v>56</v>
      </c>
      <c r="F82" s="34">
        <f>SUM(F77:F81)</f>
        <v>38000000</v>
      </c>
      <c r="G82" s="35">
        <f>SUM(G77:G81)</f>
        <v>10540.915395284328</v>
      </c>
      <c r="H82" s="35"/>
      <c r="I82" s="98"/>
      <c r="J82" s="98"/>
    </row>
    <row r="83" spans="2:10">
      <c r="C83" s="40"/>
      <c r="D83" s="40"/>
      <c r="E83" s="41"/>
      <c r="F83" s="41"/>
      <c r="G83" s="41"/>
      <c r="H83" s="41"/>
      <c r="I83" s="41"/>
      <c r="J83" s="41"/>
    </row>
    <row r="84" spans="2:10">
      <c r="C84" s="40"/>
    </row>
    <row r="85" spans="2:10">
      <c r="C85" s="40"/>
    </row>
    <row r="86" spans="2:10">
      <c r="C86" s="40"/>
    </row>
    <row r="87" spans="2:10">
      <c r="C87" s="40"/>
    </row>
    <row r="88" spans="2:10">
      <c r="C88" s="40"/>
    </row>
    <row r="89" spans="2:10">
      <c r="C89" s="40"/>
    </row>
    <row r="90" spans="2:10">
      <c r="C90" s="40"/>
    </row>
    <row r="92" spans="2:10" ht="18">
      <c r="C92" s="42"/>
    </row>
    <row r="94" spans="2:10">
      <c r="C94" s="41"/>
    </row>
    <row r="95" spans="2:10">
      <c r="C95" s="40"/>
      <c r="D95" s="41"/>
      <c r="F95" s="33"/>
      <c r="G95" s="33"/>
      <c r="H95" s="33"/>
      <c r="I95" s="33"/>
      <c r="J95" s="33"/>
    </row>
    <row r="96" spans="2:10">
      <c r="C96" s="40"/>
      <c r="D96" s="41"/>
      <c r="F96" s="33"/>
      <c r="G96" s="33"/>
      <c r="H96" s="33"/>
      <c r="I96" s="33"/>
      <c r="J96" s="33"/>
    </row>
    <row r="97" spans="3:10">
      <c r="C97" s="40"/>
      <c r="D97" s="41"/>
      <c r="F97" s="33"/>
      <c r="G97" s="33"/>
      <c r="H97" s="33"/>
      <c r="I97" s="33"/>
      <c r="J97" s="33"/>
    </row>
    <row r="98" spans="3:10">
      <c r="C98" s="41"/>
      <c r="F98" s="33"/>
      <c r="G98" s="33"/>
      <c r="H98" s="33"/>
      <c r="I98" s="33"/>
      <c r="J98" s="33"/>
    </row>
    <row r="99" spans="3:10">
      <c r="C99" s="41"/>
      <c r="D99" s="33"/>
      <c r="E99" s="33"/>
      <c r="F99" s="33"/>
      <c r="G99" s="33"/>
      <c r="H99" s="33"/>
      <c r="I99" s="33"/>
      <c r="J99" s="33"/>
    </row>
    <row r="100" spans="3:10">
      <c r="C100" s="41"/>
      <c r="D100" s="33"/>
      <c r="E100" s="33"/>
      <c r="F100" s="33"/>
      <c r="G100" s="33"/>
      <c r="H100" s="33"/>
      <c r="I100" s="33"/>
      <c r="J100" s="33"/>
    </row>
    <row r="101" spans="3:10">
      <c r="C101" s="41"/>
      <c r="D101" s="33"/>
      <c r="E101" s="33"/>
      <c r="F101" s="33"/>
      <c r="G101" s="33"/>
      <c r="H101" s="33"/>
      <c r="I101" s="33"/>
      <c r="J101" s="33"/>
    </row>
    <row r="102" spans="3:10">
      <c r="C102" s="41"/>
      <c r="D102" s="33"/>
      <c r="E102" s="33"/>
      <c r="F102" s="33"/>
      <c r="G102" s="33"/>
      <c r="H102" s="33"/>
      <c r="I102" s="33"/>
      <c r="J102" s="33"/>
    </row>
    <row r="103" spans="3:10">
      <c r="C103" s="41"/>
      <c r="D103" s="33"/>
      <c r="E103" s="33"/>
      <c r="F103" s="33"/>
      <c r="G103" s="33"/>
      <c r="H103" s="33"/>
      <c r="I103" s="33"/>
      <c r="J103" s="33"/>
    </row>
    <row r="104" spans="3:10">
      <c r="C104" s="41"/>
      <c r="D104" s="33"/>
      <c r="E104" s="33"/>
      <c r="F104" s="33"/>
      <c r="G104" s="33"/>
      <c r="H104" s="33"/>
      <c r="I104" s="33"/>
      <c r="J104" s="33"/>
    </row>
    <row r="105" spans="3:10">
      <c r="C105" s="41"/>
      <c r="D105" s="33"/>
      <c r="E105" s="33"/>
      <c r="F105" s="33"/>
      <c r="G105" s="33"/>
      <c r="H105" s="33"/>
      <c r="I105" s="33"/>
      <c r="J105" s="33"/>
    </row>
    <row r="106" spans="3:10">
      <c r="D106" s="41"/>
      <c r="F106" s="33"/>
      <c r="G106" s="33"/>
      <c r="H106" s="33"/>
      <c r="I106" s="33"/>
      <c r="J106" s="33"/>
    </row>
    <row r="107" spans="3:10">
      <c r="C107" s="41"/>
      <c r="D107" s="33"/>
      <c r="E107" s="33"/>
      <c r="F107" s="33"/>
      <c r="G107" s="33"/>
      <c r="H107" s="33"/>
      <c r="I107" s="33"/>
      <c r="J107" s="33"/>
    </row>
    <row r="108" spans="3:10">
      <c r="C108" s="41"/>
      <c r="D108" s="33"/>
      <c r="E108" s="33"/>
      <c r="F108" s="33"/>
      <c r="G108" s="33"/>
      <c r="H108" s="33"/>
      <c r="I108" s="33"/>
      <c r="J108" s="33"/>
    </row>
    <row r="109" spans="3:10">
      <c r="C109" s="41"/>
      <c r="D109" s="33"/>
      <c r="E109" s="33"/>
      <c r="F109" s="33"/>
      <c r="G109" s="33"/>
      <c r="H109" s="33"/>
      <c r="I109" s="33"/>
      <c r="J109" s="33"/>
    </row>
    <row r="110" spans="3:10">
      <c r="C110" s="41"/>
      <c r="D110" s="33"/>
      <c r="E110" s="33"/>
      <c r="F110" s="33"/>
      <c r="G110" s="33"/>
      <c r="H110" s="33"/>
      <c r="I110" s="33"/>
      <c r="J110" s="33"/>
    </row>
    <row r="111" spans="3:10">
      <c r="C111" s="41"/>
      <c r="D111" s="33"/>
      <c r="E111" s="33"/>
      <c r="F111" s="33"/>
      <c r="G111" s="33"/>
      <c r="H111" s="33"/>
      <c r="I111" s="33"/>
      <c r="J111" s="33"/>
    </row>
    <row r="112" spans="3:10">
      <c r="C112" s="33"/>
      <c r="E112" s="33"/>
      <c r="F112" s="33"/>
      <c r="G112" s="33"/>
      <c r="H112" s="33"/>
      <c r="I112" s="33"/>
      <c r="J112" s="33"/>
    </row>
    <row r="113" spans="3:10">
      <c r="C113" s="33"/>
      <c r="D113" s="33"/>
      <c r="E113" s="33"/>
      <c r="F113" s="33"/>
      <c r="G113" s="33"/>
      <c r="H113" s="33"/>
      <c r="I113" s="33"/>
      <c r="J113" s="33"/>
    </row>
    <row r="114" spans="3:10">
      <c r="C114" s="33"/>
      <c r="D114" s="33"/>
      <c r="E114" s="33"/>
      <c r="F114" s="33"/>
      <c r="G114" s="33"/>
      <c r="H114" s="33"/>
      <c r="I114" s="33"/>
      <c r="J114" s="33"/>
    </row>
    <row r="115" spans="3:10">
      <c r="C115" s="41"/>
      <c r="D115" s="33"/>
      <c r="E115" s="33"/>
      <c r="F115" s="33"/>
      <c r="G115" s="33"/>
      <c r="H115" s="33"/>
      <c r="I115" s="33"/>
      <c r="J115" s="33"/>
    </row>
    <row r="116" spans="3:10">
      <c r="C116" s="41"/>
      <c r="D116" s="33"/>
      <c r="E116" s="33"/>
      <c r="F116" s="33"/>
      <c r="G116" s="33"/>
      <c r="H116" s="33"/>
      <c r="I116" s="33"/>
      <c r="J116" s="33"/>
    </row>
    <row r="117" spans="3:10">
      <c r="D117" s="41"/>
      <c r="F117" s="33"/>
      <c r="G117" s="33"/>
      <c r="H117" s="33"/>
      <c r="I117" s="33"/>
      <c r="J117" s="33"/>
    </row>
    <row r="118" spans="3:10">
      <c r="E118" s="33"/>
      <c r="F118" s="33"/>
      <c r="G118" s="33"/>
      <c r="H118" s="33"/>
      <c r="I118" s="33"/>
      <c r="J118" s="33"/>
    </row>
    <row r="122" spans="3:10">
      <c r="E122" s="33"/>
      <c r="F122" s="33"/>
      <c r="G122" s="33"/>
      <c r="H122" s="33"/>
      <c r="I122" s="33"/>
      <c r="J122" s="33"/>
    </row>
    <row r="123" spans="3:10">
      <c r="E123" s="33"/>
      <c r="F123" s="33"/>
      <c r="G123" s="33"/>
      <c r="H123" s="33"/>
      <c r="I123" s="33"/>
      <c r="J123" s="33"/>
    </row>
    <row r="124" spans="3:10">
      <c r="E124" s="33"/>
      <c r="F124" s="33"/>
      <c r="G124" s="33"/>
      <c r="H124" s="33"/>
      <c r="I124" s="33"/>
      <c r="J124" s="33"/>
    </row>
    <row r="125" spans="3:10">
      <c r="E125" s="33"/>
      <c r="F125" s="33"/>
      <c r="G125" s="33"/>
      <c r="H125" s="33"/>
      <c r="I125" s="33"/>
      <c r="J125" s="33"/>
    </row>
    <row r="126" spans="3:10">
      <c r="E126" s="33"/>
      <c r="F126" s="33"/>
      <c r="G126" s="33"/>
      <c r="H126" s="33"/>
      <c r="I126" s="33"/>
      <c r="J126" s="33"/>
    </row>
    <row r="127" spans="3:10">
      <c r="E127" s="33"/>
      <c r="F127" s="33"/>
      <c r="G127" s="33"/>
      <c r="H127" s="33"/>
      <c r="I127" s="33"/>
      <c r="J127" s="33"/>
    </row>
    <row r="128" spans="3:10">
      <c r="E128" s="33"/>
      <c r="F128" s="33"/>
      <c r="G128" s="33"/>
      <c r="H128" s="33"/>
      <c r="I128" s="33"/>
      <c r="J128" s="33"/>
    </row>
    <row r="129" spans="5:10">
      <c r="E129" s="33"/>
      <c r="F129" s="33"/>
      <c r="G129" s="33"/>
      <c r="H129" s="33"/>
      <c r="I129" s="33"/>
      <c r="J129" s="33"/>
    </row>
    <row r="130" spans="5:10">
      <c r="E130" s="33"/>
      <c r="F130" s="33"/>
      <c r="G130" s="33"/>
      <c r="H130" s="33"/>
      <c r="I130" s="33"/>
      <c r="J130" s="33"/>
    </row>
  </sheetData>
  <sheetProtection formatCells="0" selectLockedCells="1"/>
  <mergeCells count="57">
    <mergeCell ref="I48:J48"/>
    <mergeCell ref="I63:J63"/>
    <mergeCell ref="I64:J64"/>
    <mergeCell ref="I65:J65"/>
    <mergeCell ref="I66:J66"/>
    <mergeCell ref="I49:J49"/>
    <mergeCell ref="I50:J50"/>
    <mergeCell ref="I67:J67"/>
    <mergeCell ref="I68:J68"/>
    <mergeCell ref="I69:J69"/>
    <mergeCell ref="I70:J70"/>
    <mergeCell ref="I71:J71"/>
    <mergeCell ref="I72:J72"/>
    <mergeCell ref="I73:J73"/>
    <mergeCell ref="I74:J74"/>
    <mergeCell ref="I80:J80"/>
    <mergeCell ref="I82:J82"/>
    <mergeCell ref="I51:J51"/>
    <mergeCell ref="I52:J52"/>
    <mergeCell ref="I53:J53"/>
    <mergeCell ref="I55:J55"/>
    <mergeCell ref="I56:J56"/>
    <mergeCell ref="I54:J54"/>
    <mergeCell ref="I57:J57"/>
    <mergeCell ref="I58:J58"/>
    <mergeCell ref="I59:J59"/>
    <mergeCell ref="I60:J60"/>
    <mergeCell ref="I61:J61"/>
    <mergeCell ref="I62:J62"/>
    <mergeCell ref="H33:I33"/>
    <mergeCell ref="H40:I40"/>
    <mergeCell ref="I46:J46"/>
    <mergeCell ref="I47:J47"/>
    <mergeCell ref="H34:I34"/>
    <mergeCell ref="H35:I35"/>
    <mergeCell ref="H36:I36"/>
    <mergeCell ref="H37:I37"/>
    <mergeCell ref="H38:I38"/>
    <mergeCell ref="H39:I39"/>
    <mergeCell ref="I44:J44"/>
    <mergeCell ref="I45:J45"/>
    <mergeCell ref="H23:I23"/>
    <mergeCell ref="H24:I24"/>
    <mergeCell ref="H25:I25"/>
    <mergeCell ref="H26:I26"/>
    <mergeCell ref="E1:J7"/>
    <mergeCell ref="E23:F23"/>
    <mergeCell ref="E19:F19"/>
    <mergeCell ref="E20:F20"/>
    <mergeCell ref="E21:F21"/>
    <mergeCell ref="G15:H15"/>
    <mergeCell ref="I81:J81"/>
    <mergeCell ref="I75:J75"/>
    <mergeCell ref="I76:J76"/>
    <mergeCell ref="I77:J77"/>
    <mergeCell ref="I78:J78"/>
    <mergeCell ref="I79:J79"/>
  </mergeCells>
  <conditionalFormatting sqref="F77:F81 F62:F71 F56:F58 F45:F51 F28:F30 F24:F26 F34:F39">
    <cfRule type="containsBlanks" dxfId="5" priority="11" stopIfTrue="1">
      <formula>LEN(TRIM(F24))=0</formula>
    </cfRule>
  </conditionalFormatting>
  <conditionalFormatting sqref="E72:F73 F49:F52 E52">
    <cfRule type="containsBlanks" dxfId="4" priority="12">
      <formula>LEN(TRIM(E49))=0</formula>
    </cfRule>
  </conditionalFormatting>
  <conditionalFormatting sqref="G13:J13">
    <cfRule type="cellIs" dxfId="3" priority="10" operator="lessThan">
      <formula>0</formula>
    </cfRule>
  </conditionalFormatting>
  <conditionalFormatting sqref="I12">
    <cfRule type="cellIs" dxfId="2" priority="2" operator="greaterThan">
      <formula>0.205</formula>
    </cfRule>
  </conditionalFormatting>
  <conditionalFormatting sqref="I11">
    <cfRule type="cellIs" dxfId="1" priority="1" operator="lessThan">
      <formula>0.795</formula>
    </cfRule>
  </conditionalFormatting>
  <dataValidations count="2">
    <dataValidation type="list" allowBlank="1" showInputMessage="1" showErrorMessage="1" sqref="H77:H81 H62:H73 H56:H58 H45:H52">
      <formula1>Category</formula1>
    </dataValidation>
    <dataValidation type="list" allowBlank="1" showInputMessage="1" showErrorMessage="1" sqref="H34:I39">
      <formula1>Sources</formula1>
    </dataValidation>
  </dataValidations>
  <pageMargins left="0.25" right="0.25" top="0.5" bottom="0.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8" workbookViewId="0">
      <selection activeCell="D30" sqref="D30"/>
    </sheetView>
  </sheetViews>
  <sheetFormatPr defaultColWidth="9.140625" defaultRowHeight="15"/>
  <cols>
    <col min="1" max="1" width="39.7109375" style="103" customWidth="1"/>
    <col min="2" max="2" width="17.7109375" style="103" customWidth="1"/>
    <col min="3" max="3" width="14.85546875" style="103" customWidth="1"/>
    <col min="4" max="4" width="10.42578125" style="103" bestFit="1" customWidth="1"/>
    <col min="5" max="5" width="14.28515625" style="103" customWidth="1"/>
    <col min="6" max="6" width="9.140625" style="103"/>
    <col min="7" max="7" width="17.5703125" style="103" customWidth="1"/>
    <col min="8" max="16384" width="9.140625" style="103"/>
  </cols>
  <sheetData>
    <row r="1" spans="1:13" ht="31.5">
      <c r="A1" s="138" t="s">
        <v>120</v>
      </c>
      <c r="B1" s="138"/>
      <c r="C1" s="138"/>
      <c r="D1" s="138"/>
      <c r="E1" s="138"/>
      <c r="F1" s="138"/>
      <c r="G1" s="138"/>
    </row>
    <row r="2" spans="1:13" ht="15" customHeight="1">
      <c r="A2" s="135"/>
      <c r="B2" s="137"/>
      <c r="C2" s="135"/>
      <c r="D2" s="135"/>
      <c r="E2" s="135"/>
    </row>
    <row r="3" spans="1:13" ht="15" customHeight="1">
      <c r="A3" s="136" t="s">
        <v>119</v>
      </c>
      <c r="B3" s="127" t="s">
        <v>118</v>
      </c>
      <c r="C3" s="135"/>
      <c r="D3" s="133" t="s">
        <v>117</v>
      </c>
      <c r="E3" s="132"/>
      <c r="F3" s="134" t="s">
        <v>67</v>
      </c>
      <c r="G3" s="131"/>
    </row>
    <row r="4" spans="1:13" ht="15" customHeight="1">
      <c r="A4" s="126" t="s">
        <v>116</v>
      </c>
      <c r="B4" s="130">
        <v>40</v>
      </c>
      <c r="C4" s="111"/>
      <c r="D4" s="133" t="s">
        <v>115</v>
      </c>
      <c r="E4" s="132"/>
      <c r="F4" s="131">
        <v>3605</v>
      </c>
      <c r="G4" s="131"/>
      <c r="L4" s="129"/>
      <c r="M4" s="128"/>
    </row>
    <row r="5" spans="1:13">
      <c r="A5" s="127" t="s">
        <v>114</v>
      </c>
      <c r="B5" s="130">
        <v>2</v>
      </c>
      <c r="C5" s="111"/>
      <c r="L5" s="129"/>
      <c r="M5" s="128"/>
    </row>
    <row r="6" spans="1:13">
      <c r="A6" s="127" t="s">
        <v>113</v>
      </c>
      <c r="B6" s="127" t="s">
        <v>110</v>
      </c>
      <c r="C6" s="111"/>
      <c r="D6" s="117"/>
    </row>
    <row r="7" spans="1:13">
      <c r="A7" s="127" t="s">
        <v>112</v>
      </c>
      <c r="B7" s="127" t="s">
        <v>110</v>
      </c>
      <c r="C7" s="111"/>
      <c r="D7" s="117"/>
    </row>
    <row r="8" spans="1:13">
      <c r="A8" s="126" t="s">
        <v>111</v>
      </c>
      <c r="B8" s="126" t="s">
        <v>110</v>
      </c>
      <c r="C8" s="111"/>
      <c r="D8" s="117"/>
    </row>
    <row r="9" spans="1:13">
      <c r="A9" s="141"/>
      <c r="B9" s="125"/>
      <c r="C9" s="117"/>
      <c r="D9" s="117"/>
    </row>
    <row r="10" spans="1:13">
      <c r="A10" s="124"/>
      <c r="B10" s="123"/>
      <c r="C10" s="123"/>
    </row>
    <row r="11" spans="1:13" s="118" customFormat="1" ht="34.5" customHeight="1">
      <c r="A11" s="114"/>
      <c r="B11" s="122" t="s">
        <v>109</v>
      </c>
      <c r="C11" s="122" t="s">
        <v>108</v>
      </c>
      <c r="D11" s="122" t="s">
        <v>107</v>
      </c>
      <c r="E11" s="121" t="s">
        <v>106</v>
      </c>
      <c r="F11" s="120"/>
      <c r="G11" s="119"/>
    </row>
    <row r="12" spans="1:13" ht="15.75">
      <c r="A12" s="116" t="s">
        <v>105</v>
      </c>
      <c r="B12" s="116" t="s">
        <v>90</v>
      </c>
      <c r="C12" s="114">
        <v>1</v>
      </c>
      <c r="D12" s="113">
        <f>((45*26000)+(10*30000))/$F$4</f>
        <v>407.76699029126212</v>
      </c>
      <c r="E12" s="112">
        <f>C12*D12</f>
        <v>407.76699029126212</v>
      </c>
      <c r="F12" s="111"/>
      <c r="G12" s="104"/>
    </row>
    <row r="13" spans="1:13" ht="15.75">
      <c r="A13" s="116" t="s">
        <v>104</v>
      </c>
      <c r="B13" s="116" t="s">
        <v>88</v>
      </c>
      <c r="C13" s="114">
        <v>12000</v>
      </c>
      <c r="D13" s="113">
        <f>140/$F$4</f>
        <v>3.8834951456310676E-2</v>
      </c>
      <c r="E13" s="112">
        <f>C13*D13</f>
        <v>466.01941747572812</v>
      </c>
      <c r="F13" s="111"/>
      <c r="G13" s="104"/>
    </row>
    <row r="14" spans="1:13" ht="15.75">
      <c r="A14" s="116" t="s">
        <v>103</v>
      </c>
      <c r="B14" s="116" t="s">
        <v>90</v>
      </c>
      <c r="C14" s="114">
        <v>1</v>
      </c>
      <c r="D14" s="113">
        <f>500000/3605</f>
        <v>138.69625520110958</v>
      </c>
      <c r="E14" s="112">
        <f>C14*D14</f>
        <v>138.69625520110958</v>
      </c>
      <c r="F14" s="111"/>
      <c r="G14" s="104"/>
    </row>
    <row r="15" spans="1:13" ht="15.75">
      <c r="A15" s="116" t="s">
        <v>102</v>
      </c>
      <c r="B15" s="116" t="s">
        <v>101</v>
      </c>
      <c r="C15" s="114">
        <v>3</v>
      </c>
      <c r="D15" s="113">
        <f>125000/$F$4</f>
        <v>34.674063800277395</v>
      </c>
      <c r="E15" s="112">
        <f>C15*D15</f>
        <v>104.02219140083218</v>
      </c>
      <c r="F15" s="111"/>
      <c r="G15" s="104"/>
    </row>
    <row r="16" spans="1:13" ht="15.75">
      <c r="A16" s="116" t="s">
        <v>100</v>
      </c>
      <c r="B16" s="116" t="s">
        <v>99</v>
      </c>
      <c r="C16" s="114">
        <v>3</v>
      </c>
      <c r="D16" s="113">
        <f>80000/$F$4</f>
        <v>22.191400832177532</v>
      </c>
      <c r="E16" s="112">
        <f>C16*D16</f>
        <v>66.574202496532592</v>
      </c>
      <c r="F16" s="111"/>
      <c r="G16" s="104"/>
    </row>
    <row r="17" spans="1:7" ht="15.75">
      <c r="A17" s="116" t="s">
        <v>98</v>
      </c>
      <c r="B17" s="116" t="s">
        <v>90</v>
      </c>
      <c r="C17" s="114">
        <v>1</v>
      </c>
      <c r="D17" s="113">
        <f>((32*41000)+(5*28500))/$F$4</f>
        <v>403.46740638002774</v>
      </c>
      <c r="E17" s="112">
        <f>C17*D17</f>
        <v>403.46740638002774</v>
      </c>
      <c r="F17" s="111"/>
      <c r="G17" s="104"/>
    </row>
    <row r="18" spans="1:7" ht="15.75">
      <c r="A18" s="116" t="s">
        <v>97</v>
      </c>
      <c r="B18" s="116" t="s">
        <v>88</v>
      </c>
      <c r="C18" s="114">
        <v>2</v>
      </c>
      <c r="D18" s="113">
        <f>17500/$F$4</f>
        <v>4.8543689320388346</v>
      </c>
      <c r="E18" s="112">
        <f>C18*D18</f>
        <v>9.7087378640776691</v>
      </c>
      <c r="F18" s="111"/>
      <c r="G18" s="117"/>
    </row>
    <row r="19" spans="1:7" ht="15.75">
      <c r="A19" s="116" t="s">
        <v>96</v>
      </c>
      <c r="B19" s="116" t="s">
        <v>90</v>
      </c>
      <c r="C19" s="114">
        <v>1</v>
      </c>
      <c r="D19" s="113">
        <f>360500/F4</f>
        <v>100</v>
      </c>
      <c r="E19" s="112">
        <f>C19*D19</f>
        <v>100</v>
      </c>
      <c r="F19" s="111"/>
      <c r="G19" s="104"/>
    </row>
    <row r="20" spans="1:7" ht="15.75">
      <c r="A20" s="116" t="s">
        <v>95</v>
      </c>
      <c r="B20" s="116" t="s">
        <v>88</v>
      </c>
      <c r="C20" s="114">
        <v>1</v>
      </c>
      <c r="D20" s="113">
        <f>1600000/$F$4</f>
        <v>443.8280166435506</v>
      </c>
      <c r="E20" s="112">
        <f>C20*D20</f>
        <v>443.8280166435506</v>
      </c>
      <c r="F20" s="111"/>
      <c r="G20" s="104"/>
    </row>
    <row r="21" spans="1:7" ht="15.75">
      <c r="A21" s="116" t="s">
        <v>94</v>
      </c>
      <c r="B21" s="116" t="s">
        <v>90</v>
      </c>
      <c r="C21" s="114">
        <v>1</v>
      </c>
      <c r="D21" s="113">
        <f>79310/$F$4</f>
        <v>22</v>
      </c>
      <c r="E21" s="112">
        <f>C21*D21</f>
        <v>22</v>
      </c>
      <c r="F21" s="111"/>
      <c r="G21" s="104"/>
    </row>
    <row r="22" spans="1:7" ht="15.75">
      <c r="A22" s="116" t="s">
        <v>93</v>
      </c>
      <c r="B22" s="116" t="s">
        <v>92</v>
      </c>
      <c r="C22" s="114">
        <v>1</v>
      </c>
      <c r="D22" s="113">
        <f>120000/F4</f>
        <v>33.287101248266296</v>
      </c>
      <c r="E22" s="112">
        <f>C22*D22</f>
        <v>33.287101248266296</v>
      </c>
      <c r="F22" s="111"/>
      <c r="G22" s="104"/>
    </row>
    <row r="23" spans="1:7" ht="15.75">
      <c r="A23" s="116" t="s">
        <v>91</v>
      </c>
      <c r="B23" s="115" t="s">
        <v>90</v>
      </c>
      <c r="C23" s="114">
        <v>1</v>
      </c>
      <c r="D23" s="113">
        <f>1175000/$F$4</f>
        <v>325.93619972260751</v>
      </c>
      <c r="E23" s="112">
        <f>C23*D23</f>
        <v>325.93619972260751</v>
      </c>
      <c r="F23" s="111"/>
      <c r="G23" s="104"/>
    </row>
    <row r="24" spans="1:7" ht="15.75">
      <c r="A24" s="116" t="s">
        <v>89</v>
      </c>
      <c r="B24" s="115" t="s">
        <v>88</v>
      </c>
      <c r="C24" s="114">
        <v>1</v>
      </c>
      <c r="D24" s="113">
        <f>910000/$F$4</f>
        <v>252.42718446601941</v>
      </c>
      <c r="E24" s="112">
        <f>C24*D24</f>
        <v>252.42718446601941</v>
      </c>
      <c r="F24" s="111"/>
      <c r="G24" s="104"/>
    </row>
    <row r="25" spans="1:7" ht="15.75">
      <c r="A25" s="110" t="s">
        <v>87</v>
      </c>
      <c r="B25" s="107"/>
      <c r="C25" s="107"/>
      <c r="D25" s="106"/>
      <c r="E25" s="139">
        <f>SUM(E12:E24)</f>
        <v>2773.7337031900138</v>
      </c>
      <c r="F25" s="104"/>
      <c r="G25" s="104"/>
    </row>
    <row r="26" spans="1:7" ht="15.75">
      <c r="A26" s="110" t="s">
        <v>86</v>
      </c>
      <c r="B26" s="107"/>
      <c r="C26" s="107"/>
      <c r="D26" s="106"/>
      <c r="E26" s="139">
        <v>217</v>
      </c>
      <c r="F26" s="104"/>
      <c r="G26" s="104"/>
    </row>
    <row r="27" spans="1:7" ht="18.75">
      <c r="A27" s="110" t="s">
        <v>124</v>
      </c>
      <c r="B27" s="107"/>
      <c r="C27" s="107"/>
      <c r="D27" s="106"/>
      <c r="E27" s="105">
        <f>SUM(E25:E26)</f>
        <v>2990.7337031900138</v>
      </c>
      <c r="F27" s="104"/>
      <c r="G27" s="104"/>
    </row>
    <row r="28" spans="1:7" ht="15.75">
      <c r="A28" s="110"/>
      <c r="B28" s="107"/>
      <c r="C28" s="107"/>
      <c r="D28" s="106"/>
      <c r="E28" s="109"/>
      <c r="F28" s="104"/>
      <c r="G28" s="104"/>
    </row>
    <row r="29" spans="1:7" ht="15.75">
      <c r="A29" s="110" t="s">
        <v>85</v>
      </c>
      <c r="B29" s="107"/>
      <c r="C29" s="107"/>
      <c r="D29" s="106"/>
      <c r="E29" s="109">
        <v>299</v>
      </c>
      <c r="F29" s="104"/>
      <c r="G29" s="104"/>
    </row>
    <row r="30" spans="1:7" ht="18.75">
      <c r="A30" s="108" t="s">
        <v>125</v>
      </c>
      <c r="B30" s="107"/>
      <c r="C30" s="107"/>
      <c r="D30" s="106"/>
      <c r="E30" s="140">
        <f>E27+E29</f>
        <v>3289.7337031900138</v>
      </c>
      <c r="F30" s="104"/>
      <c r="G30" s="104"/>
    </row>
  </sheetData>
  <mergeCells count="5">
    <mergeCell ref="A1:G1"/>
    <mergeCell ref="D4:E4"/>
    <mergeCell ref="F4:G4"/>
    <mergeCell ref="D3:E3"/>
    <mergeCell ref="F3:G3"/>
  </mergeCells>
  <conditionalFormatting sqref="B3:B8 F3:G4 B12:D24">
    <cfRule type="containsBlanks" dxfId="0" priority="1">
      <formula>LEN(TRIM(B3))=0</formula>
    </cfRule>
  </conditionalFormatting>
  <pageMargins left="0.7" right="0.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 Budget</vt:lpstr>
      <vt:lpstr>House Budget</vt:lpstr>
      <vt:lpstr>'House Budget'!Print_Area</vt:lpstr>
      <vt:lpstr>'Project Budget'!Print_Area</vt:lpstr>
      <vt:lpstr>Sources</vt:lpstr>
    </vt:vector>
  </TitlesOfParts>
  <Company>AHC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Snell</dc:creator>
  <cp:lastModifiedBy>Ryan</cp:lastModifiedBy>
  <cp:lastPrinted>2015-02-04T15:09:41Z</cp:lastPrinted>
  <dcterms:created xsi:type="dcterms:W3CDTF">2006-02-22T21:16:19Z</dcterms:created>
  <dcterms:modified xsi:type="dcterms:W3CDTF">2019-11-08T21:23:29Z</dcterms:modified>
</cp:coreProperties>
</file>