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Practicante\Downloads\"/>
    </mc:Choice>
  </mc:AlternateContent>
  <bookViews>
    <workbookView xWindow="0" yWindow="0" windowWidth="24000" windowHeight="9735" tabRatio="725" firstSheet="1" activeTab="1"/>
  </bookViews>
  <sheets>
    <sheet name="resumen estadístico" sheetId="1" state="hidden" r:id="rId1"/>
    <sheet name="personal" sheetId="2" r:id="rId2"/>
    <sheet name="ejecución" sheetId="3" r:id="rId3"/>
    <sheet name="viaticos y transporte" sheetId="4" r:id="rId4"/>
    <sheet name="costos y gastos" sheetId="5" r:id="rId5"/>
    <sheet name="PAQUETES A PROMOVER EN GLOBAL" sheetId="6" r:id="rId6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" i="6" l="1"/>
  <c r="B19" i="6"/>
  <c r="E17" i="5"/>
  <c r="B17" i="6"/>
  <c r="B16" i="6"/>
  <c r="B13" i="6"/>
  <c r="B11" i="6"/>
  <c r="B8" i="6"/>
  <c r="B12" i="6"/>
  <c r="B7" i="6"/>
  <c r="B17" i="5"/>
  <c r="B20" i="5"/>
  <c r="E20" i="5"/>
  <c r="B3" i="6"/>
  <c r="B4" i="6"/>
  <c r="B18" i="6"/>
  <c r="B14" i="6"/>
  <c r="B9" i="6"/>
  <c r="B21" i="6"/>
  <c r="E4" i="3"/>
  <c r="H4" i="3"/>
  <c r="I4" i="3"/>
  <c r="E5" i="3"/>
  <c r="H5" i="3"/>
  <c r="I5" i="3"/>
  <c r="E6" i="3"/>
  <c r="H6" i="3"/>
  <c r="I6" i="3"/>
  <c r="I7" i="3"/>
  <c r="E7" i="5"/>
  <c r="M8" i="5"/>
  <c r="F13" i="3"/>
  <c r="H13" i="3"/>
  <c r="I13" i="3"/>
  <c r="F14" i="3"/>
  <c r="H14" i="3"/>
  <c r="I14" i="3"/>
  <c r="F15" i="3"/>
  <c r="H15" i="3"/>
  <c r="I15" i="3"/>
  <c r="I16" i="3"/>
  <c r="E9" i="5"/>
  <c r="M9" i="5"/>
  <c r="B10" i="6"/>
  <c r="B23" i="6"/>
  <c r="B22" i="6"/>
  <c r="E19" i="3"/>
  <c r="B13" i="5"/>
  <c r="I10" i="3"/>
  <c r="E11" i="5"/>
  <c r="H19" i="3"/>
  <c r="I19" i="3"/>
  <c r="E13" i="5"/>
  <c r="B15" i="5"/>
  <c r="E15" i="5"/>
  <c r="D5" i="2"/>
  <c r="F5" i="2"/>
  <c r="H5" i="2"/>
  <c r="I5" i="2"/>
  <c r="D6" i="2"/>
  <c r="F6" i="2"/>
  <c r="H6" i="2"/>
  <c r="I6" i="2"/>
  <c r="D7" i="2"/>
  <c r="F7" i="2"/>
  <c r="I7" i="2"/>
  <c r="D8" i="2"/>
  <c r="F8" i="2"/>
  <c r="I8" i="2"/>
  <c r="D9" i="2"/>
  <c r="F9" i="2"/>
  <c r="I9" i="2"/>
  <c r="D10" i="2"/>
  <c r="F10" i="2"/>
  <c r="I10" i="2"/>
  <c r="I11" i="2"/>
  <c r="D4" i="4"/>
  <c r="E4" i="4"/>
  <c r="H4" i="4"/>
  <c r="D5" i="4"/>
  <c r="E5" i="4"/>
  <c r="H5" i="4"/>
  <c r="D6" i="4"/>
  <c r="E6" i="4"/>
  <c r="H6" i="4"/>
  <c r="D7" i="4"/>
  <c r="E7" i="4"/>
  <c r="H7" i="4"/>
  <c r="H8" i="4"/>
  <c r="E19" i="5"/>
  <c r="I15" i="5"/>
  <c r="M17" i="5"/>
  <c r="M20" i="5"/>
  <c r="M21" i="5"/>
  <c r="M7" i="5"/>
  <c r="E7" i="3"/>
  <c r="B7" i="5"/>
  <c r="F16" i="3"/>
  <c r="B9" i="5"/>
  <c r="B11" i="5"/>
  <c r="F11" i="2"/>
  <c r="E8" i="4"/>
  <c r="B19" i="5"/>
  <c r="B25" i="5"/>
  <c r="B26" i="5"/>
  <c r="G8" i="4"/>
  <c r="I19" i="5"/>
  <c r="I11" i="5"/>
  <c r="H7" i="3"/>
  <c r="I7" i="5"/>
  <c r="H16" i="3"/>
  <c r="I9" i="5"/>
  <c r="I13" i="5"/>
  <c r="H11" i="2"/>
  <c r="I17" i="5"/>
  <c r="I20" i="5"/>
  <c r="F16" i="2"/>
  <c r="B27" i="1"/>
  <c r="B25" i="1"/>
  <c r="B26" i="1"/>
  <c r="B20" i="1"/>
  <c r="F17" i="2"/>
</calcChain>
</file>

<file path=xl/sharedStrings.xml><?xml version="1.0" encoding="utf-8"?>
<sst xmlns="http://schemas.openxmlformats.org/spreadsheetml/2006/main" count="161" uniqueCount="125">
  <si>
    <t>RESUMEN ESTADÍSTICO</t>
  </si>
  <si>
    <t>Proyecto</t>
  </si>
  <si>
    <t>Nutriendo con Amor</t>
  </si>
  <si>
    <t>Duración proyecto</t>
  </si>
  <si>
    <t>Ciudad</t>
  </si>
  <si>
    <t>Guachené</t>
  </si>
  <si>
    <t>Tipo de beneficiarios</t>
  </si>
  <si>
    <t>Niños (primera infancia)</t>
  </si>
  <si>
    <t>Cali</t>
  </si>
  <si>
    <t>Total beneficiarios</t>
  </si>
  <si>
    <t>Total grupos</t>
  </si>
  <si>
    <t>Promedio de beneficiarios por grupo</t>
  </si>
  <si>
    <t>Tipo de intervenciones</t>
  </si>
  <si>
    <t>talleres, convesatorios, clausuras</t>
  </si>
  <si>
    <t>Nº de talleres</t>
  </si>
  <si>
    <t>Nº de conversatorios</t>
  </si>
  <si>
    <t>Nº de atenciones psicosociales</t>
  </si>
  <si>
    <t>Nº de coaching</t>
  </si>
  <si>
    <t>Nº de actividades de cierre</t>
  </si>
  <si>
    <t>Total intervenciones por beneficiario</t>
  </si>
  <si>
    <t>Total de intervenciones Proyecto</t>
  </si>
  <si>
    <t>Horas de talleres</t>
  </si>
  <si>
    <t>Horas de conversatorios</t>
  </si>
  <si>
    <t>Horas de atenciones psicosociales</t>
  </si>
  <si>
    <t>Horas de coaching</t>
  </si>
  <si>
    <t>Horas actividad de cierre</t>
  </si>
  <si>
    <t>Horas por beneficiario</t>
  </si>
  <si>
    <t>Total horas Proyecto</t>
  </si>
  <si>
    <t>Total personal directo requerido</t>
  </si>
  <si>
    <t>Valor proyecto</t>
  </si>
  <si>
    <t>Cofinanciación LCA</t>
  </si>
  <si>
    <t>PERSONAL</t>
  </si>
  <si>
    <t>Función</t>
  </si>
  <si>
    <t>Cant.</t>
  </si>
  <si>
    <t>Vr. Unit.</t>
  </si>
  <si>
    <t>Vr. Mes</t>
  </si>
  <si>
    <t>meses</t>
  </si>
  <si>
    <t>Vr. Año</t>
  </si>
  <si>
    <t>Aporte LCA</t>
  </si>
  <si>
    <t>Coordinación general del proyecto</t>
  </si>
  <si>
    <t>Psicólogo</t>
  </si>
  <si>
    <t>Trabajador social</t>
  </si>
  <si>
    <t>Nutricionista</t>
  </si>
  <si>
    <t>Asesora de campo</t>
  </si>
  <si>
    <t>Practicante psicosocial</t>
  </si>
  <si>
    <t>TOTAL PERSONAL</t>
  </si>
  <si>
    <t>HONORARIOS ASESORES</t>
  </si>
  <si>
    <t>Vr. Hora</t>
  </si>
  <si>
    <t>Vr. Sesión</t>
  </si>
  <si>
    <t>Nº Sesiones</t>
  </si>
  <si>
    <t>Psicólogo (1 psicólogo)</t>
  </si>
  <si>
    <t>TOTAL HONORARIOS ASESORES</t>
  </si>
  <si>
    <t>EJECUCIÓN</t>
  </si>
  <si>
    <t>Vr. Grupo</t>
  </si>
  <si>
    <t>Total Grupos</t>
  </si>
  <si>
    <t>Total</t>
  </si>
  <si>
    <t>Material didactico duradero (Colchonetas, sillas, mesas)</t>
  </si>
  <si>
    <t>Agentes educativas</t>
  </si>
  <si>
    <t>TOTAL</t>
  </si>
  <si>
    <t>Equipos (Portatil, video bean, camara fotografica, TV, DVD)</t>
  </si>
  <si>
    <t>Talleres Año</t>
  </si>
  <si>
    <t>Total asistentes</t>
  </si>
  <si>
    <t>Material didactico de consumo (Colores, temperas, lienzos, plastilina, cartulina, carton paja, fomi, lapices, lapiceros, borradores, sacapuntas entre otros)</t>
  </si>
  <si>
    <t xml:space="preserve">VIÁTICOS Y TRANSPORTE </t>
  </si>
  <si>
    <t>Nº de visitas</t>
  </si>
  <si>
    <t>(150 beneficiarios)</t>
  </si>
  <si>
    <t>CONCEPTO</t>
  </si>
  <si>
    <t>Vr. AÑO</t>
  </si>
  <si>
    <t>%  Total</t>
  </si>
  <si>
    <t>% Total</t>
  </si>
  <si>
    <t>% Concepto</t>
  </si>
  <si>
    <t>LA CONSCIENCIA DEL AMOR</t>
  </si>
  <si>
    <t>1. Material didactico duradero</t>
  </si>
  <si>
    <t>Materiales e insumos de larga duracion.</t>
  </si>
  <si>
    <t>2. Material didactico de Consumo</t>
  </si>
  <si>
    <t xml:space="preserve">Todo lo relacionado con papaleria y materiales de consumo por taller. </t>
  </si>
  <si>
    <t xml:space="preserve">3. Equipos </t>
  </si>
  <si>
    <t xml:space="preserve">Computadora, cámara fotográfica y equipos de baja gama </t>
  </si>
  <si>
    <t>4. Caja de herramientas</t>
  </si>
  <si>
    <t>Caja de herramientas pedagógicas</t>
  </si>
  <si>
    <t xml:space="preserve">5. Gastos de administracion </t>
  </si>
  <si>
    <t>Gastos financieros, servicios, otros administrativos.</t>
  </si>
  <si>
    <t>6. Equipo técnico</t>
  </si>
  <si>
    <t>Personal directo (personal requerido para la operación, coordinación, asesores, talleristas)</t>
  </si>
  <si>
    <t>7. Viaticos y Transporte</t>
  </si>
  <si>
    <t xml:space="preserve">Todo lo requerido para la movilidad y alimentación de los talleristas, materiales, voluntarios, ect. </t>
  </si>
  <si>
    <t>Costo Unit Año</t>
  </si>
  <si>
    <t>Costo Unit Mes</t>
  </si>
  <si>
    <r>
      <t xml:space="preserve">Transporte coordinador  </t>
    </r>
    <r>
      <rPr>
        <sz val="11"/>
        <color indexed="8"/>
        <rFont val="Calibri"/>
        <family val="2"/>
      </rPr>
      <t>(taxi ida y regreso)</t>
    </r>
  </si>
  <si>
    <r>
      <t>Transporte profesional de campo</t>
    </r>
    <r>
      <rPr>
        <sz val="11"/>
        <color indexed="8"/>
        <rFont val="Calibri"/>
        <family val="2"/>
      </rPr>
      <t xml:space="preserve"> (a cada encuentro) (valor MIO ida y regreso)</t>
    </r>
  </si>
  <si>
    <r>
      <t>Transporte auxiliar de campo</t>
    </r>
    <r>
      <rPr>
        <sz val="11"/>
        <color indexed="8"/>
        <rFont val="Calibri"/>
        <family val="2"/>
      </rPr>
      <t xml:space="preserve"> (a cada encuentro) (valor MIO ida y regreso)</t>
    </r>
  </si>
  <si>
    <r>
      <t>Transporte psicólogo</t>
    </r>
    <r>
      <rPr>
        <sz val="11"/>
        <color indexed="8"/>
        <rFont val="Calibri"/>
        <family val="2"/>
      </rPr>
      <t xml:space="preserve"> (a cada encuentro) (taxi ida y regreso)</t>
    </r>
  </si>
  <si>
    <t>4 mensual</t>
  </si>
  <si>
    <t>Caja de herramientas - cartilla</t>
  </si>
  <si>
    <t>Niños</t>
  </si>
  <si>
    <t>Padres</t>
  </si>
  <si>
    <t>Aporte GlobalGiving</t>
  </si>
  <si>
    <t>GlobalGiving</t>
  </si>
  <si>
    <t>COSTOS Y GASTOS DE OPERACIÓN 2019</t>
  </si>
  <si>
    <t>7 Talleres vivenciales por madre de familia</t>
  </si>
  <si>
    <t>7 Talleres vivenciales por madre comunitaria o cuidadora</t>
  </si>
  <si>
    <t>1 kit escolar por niño</t>
  </si>
  <si>
    <t>1 kit de suplemento nutricional por niño</t>
  </si>
  <si>
    <t>Tarifa consejería psicosocial por niño</t>
  </si>
  <si>
    <t>Dólares</t>
  </si>
  <si>
    <t>Pesos</t>
  </si>
  <si>
    <t>TRM</t>
  </si>
  <si>
    <t>material /niño</t>
  </si>
  <si>
    <t>equipo técnico/niño</t>
  </si>
  <si>
    <t>vr total/niño año</t>
  </si>
  <si>
    <t>Vr niño/mes</t>
  </si>
  <si>
    <t>Materiales/niño año</t>
  </si>
  <si>
    <t>2 niños apadrinados por mes</t>
  </si>
  <si>
    <t>7 talleres de arte y manualidades por niño</t>
  </si>
  <si>
    <t>materiales de larga duración para los 150 niños durante 1 año</t>
  </si>
  <si>
    <t>Kit de suplemento nutricional para 150 niños</t>
  </si>
  <si>
    <t>kit escolar para 150 niños</t>
  </si>
  <si>
    <t>1 niño apadrinado por programa por año</t>
  </si>
  <si>
    <t>materiales/mes para 150 niños</t>
  </si>
  <si>
    <t>Cartillas y material pedagógico para 150 niños</t>
  </si>
  <si>
    <t>materiales de consumo para 50 niños durante 1 año</t>
  </si>
  <si>
    <t>1 salida pedagógica para 2 niños</t>
  </si>
  <si>
    <t>20 Talleres de regulación emocional y habitos saludables por niño al año</t>
  </si>
  <si>
    <t>Materiales de larga duración mes para 150 niños (colchonetas, tijeras, cajas de colores, cajas organizadoras…)</t>
  </si>
  <si>
    <t>7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</si>
</sst>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#,##0.0;[Red]\-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entury Gothic"/>
      <family val="2"/>
    </font>
    <font>
      <sz val="9"/>
      <color rgb="FF000000"/>
      <name val="Century Gothic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18"/>
      <name val="Century Gothic"/>
      <family val="2"/>
    </font>
    <font>
      <sz val="10"/>
      <color indexed="56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9"/>
      <color indexed="8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56"/>
      <name val="Century Gothic"/>
      <family val="2"/>
    </font>
    <font>
      <b/>
      <sz val="9"/>
      <name val="Century Gothic"/>
      <family val="2"/>
    </font>
    <font>
      <sz val="9"/>
      <color indexed="62"/>
      <name val="Century Gothic"/>
      <family val="2"/>
    </font>
    <font>
      <sz val="12"/>
      <color rgb="FF21212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38" fontId="4" fillId="0" borderId="1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0" fillId="0" borderId="0" xfId="0" applyFont="1"/>
    <xf numFmtId="38" fontId="8" fillId="0" borderId="2" xfId="0" applyNumberFormat="1" applyFont="1" applyBorder="1" applyAlignment="1">
      <alignment horizontal="center" vertical="center" wrapText="1"/>
    </xf>
    <xf numFmtId="3" fontId="10" fillId="0" borderId="2" xfId="0" applyNumberFormat="1" applyFont="1" applyBorder="1" applyAlignment="1">
      <alignment vertical="center" wrapText="1"/>
    </xf>
    <xf numFmtId="3" fontId="11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38" fontId="9" fillId="0" borderId="0" xfId="0" applyNumberFormat="1" applyFont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38" fontId="15" fillId="0" borderId="0" xfId="0" applyNumberFormat="1" applyFont="1" applyBorder="1" applyAlignment="1">
      <alignment horizontal="right" vertical="center"/>
    </xf>
    <xf numFmtId="0" fontId="17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8" fontId="6" fillId="0" borderId="0" xfId="0" applyNumberFormat="1" applyFont="1" applyAlignment="1">
      <alignment horizontal="right" vertical="center"/>
    </xf>
    <xf numFmtId="0" fontId="16" fillId="0" borderId="2" xfId="0" applyFont="1" applyBorder="1" applyAlignment="1">
      <alignment horizontal="center" vertical="center" wrapText="1"/>
    </xf>
    <xf numFmtId="38" fontId="16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38" fontId="19" fillId="0" borderId="2" xfId="0" applyNumberFormat="1" applyFont="1" applyBorder="1" applyAlignment="1">
      <alignment horizontal="right" vertical="center"/>
    </xf>
    <xf numFmtId="38" fontId="6" fillId="0" borderId="3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 wrapText="1"/>
    </xf>
    <xf numFmtId="38" fontId="20" fillId="0" borderId="0" xfId="0" applyNumberFormat="1" applyFont="1" applyBorder="1" applyAlignment="1">
      <alignment horizontal="right" vertical="center"/>
    </xf>
    <xf numFmtId="38" fontId="6" fillId="0" borderId="0" xfId="0" applyNumberFormat="1" applyFont="1" applyAlignment="1">
      <alignment vertical="center" wrapText="1"/>
    </xf>
    <xf numFmtId="38" fontId="6" fillId="0" borderId="0" xfId="0" applyNumberFormat="1" applyFont="1" applyAlignment="1">
      <alignment horizontal="center" vertical="center" wrapText="1"/>
    </xf>
    <xf numFmtId="3" fontId="18" fillId="0" borderId="2" xfId="0" applyNumberFormat="1" applyFont="1" applyBorder="1" applyAlignment="1">
      <alignment horizontal="center"/>
    </xf>
    <xf numFmtId="3" fontId="17" fillId="0" borderId="2" xfId="0" applyNumberFormat="1" applyFont="1" applyBorder="1" applyAlignment="1">
      <alignment vertical="center" wrapText="1"/>
    </xf>
    <xf numFmtId="38" fontId="6" fillId="0" borderId="0" xfId="0" applyNumberFormat="1" applyFont="1" applyBorder="1" applyAlignment="1">
      <alignment horizontal="center" vertical="center" wrapText="1"/>
    </xf>
    <xf numFmtId="38" fontId="6" fillId="2" borderId="0" xfId="0" applyNumberFormat="1" applyFont="1" applyFill="1" applyBorder="1" applyAlignment="1">
      <alignment vertical="center" wrapText="1"/>
    </xf>
    <xf numFmtId="3" fontId="18" fillId="0" borderId="0" xfId="0" applyNumberFormat="1" applyFont="1" applyAlignment="1">
      <alignment vertical="center" wrapText="1"/>
    </xf>
    <xf numFmtId="38" fontId="6" fillId="2" borderId="0" xfId="0" applyNumberFormat="1" applyFont="1" applyFill="1" applyBorder="1" applyAlignment="1">
      <alignment horizontal="center" vertical="center" wrapText="1"/>
    </xf>
    <xf numFmtId="38" fontId="6" fillId="0" borderId="5" xfId="0" applyNumberFormat="1" applyFont="1" applyBorder="1" applyAlignment="1">
      <alignment horizontal="center" vertical="center" wrapText="1"/>
    </xf>
    <xf numFmtId="38" fontId="16" fillId="0" borderId="2" xfId="0" applyNumberFormat="1" applyFont="1" applyBorder="1" applyAlignment="1">
      <alignment vertical="center" wrapText="1"/>
    </xf>
    <xf numFmtId="3" fontId="18" fillId="0" borderId="2" xfId="0" applyNumberFormat="1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3" fontId="0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3" borderId="0" xfId="0" applyFont="1" applyFill="1" applyBorder="1" applyAlignment="1">
      <alignment vertical="center" wrapText="1"/>
    </xf>
    <xf numFmtId="3" fontId="11" fillId="3" borderId="0" xfId="0" applyNumberFormat="1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5" borderId="7" xfId="0" applyFont="1" applyFill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38" fontId="10" fillId="0" borderId="2" xfId="0" applyNumberFormat="1" applyFont="1" applyBorder="1" applyAlignment="1">
      <alignment vertical="center" wrapText="1"/>
    </xf>
    <xf numFmtId="164" fontId="10" fillId="0" borderId="2" xfId="2" applyNumberFormat="1" applyFont="1" applyBorder="1" applyAlignment="1">
      <alignment horizontal="center" vertical="center" wrapText="1"/>
    </xf>
    <xf numFmtId="164" fontId="10" fillId="0" borderId="0" xfId="2" applyNumberFormat="1" applyFont="1" applyBorder="1" applyAlignment="1">
      <alignment horizontal="center" vertical="center" wrapText="1"/>
    </xf>
    <xf numFmtId="166" fontId="10" fillId="0" borderId="2" xfId="0" applyNumberFormat="1" applyFont="1" applyBorder="1" applyAlignment="1">
      <alignment vertical="center" wrapText="1"/>
    </xf>
    <xf numFmtId="9" fontId="10" fillId="0" borderId="2" xfId="2" applyFont="1" applyBorder="1" applyAlignment="1">
      <alignment horizontal="center" vertical="center" wrapText="1"/>
    </xf>
    <xf numFmtId="9" fontId="10" fillId="0" borderId="0" xfId="2" applyFont="1" applyBorder="1" applyAlignment="1">
      <alignment horizontal="center" vertical="center" wrapText="1"/>
    </xf>
    <xf numFmtId="0" fontId="11" fillId="5" borderId="2" xfId="0" applyFont="1" applyFill="1" applyBorder="1" applyAlignment="1">
      <alignment vertical="center" wrapText="1"/>
    </xf>
    <xf numFmtId="164" fontId="10" fillId="0" borderId="0" xfId="2" applyNumberFormat="1" applyFont="1" applyAlignment="1">
      <alignment horizontal="center" vertical="center" wrapText="1"/>
    </xf>
    <xf numFmtId="166" fontId="10" fillId="0" borderId="0" xfId="0" applyNumberFormat="1" applyFont="1" applyAlignment="1">
      <alignment vertical="center" wrapText="1"/>
    </xf>
    <xf numFmtId="9" fontId="10" fillId="0" borderId="0" xfId="2" applyFont="1" applyAlignment="1">
      <alignment vertical="center" wrapText="1"/>
    </xf>
    <xf numFmtId="164" fontId="10" fillId="0" borderId="0" xfId="0" applyNumberFormat="1" applyFont="1" applyAlignment="1">
      <alignment vertical="center" wrapText="1"/>
    </xf>
    <xf numFmtId="0" fontId="10" fillId="0" borderId="2" xfId="0" applyFont="1" applyBorder="1" applyAlignment="1">
      <alignment vertical="center" wrapText="1"/>
    </xf>
    <xf numFmtId="9" fontId="10" fillId="0" borderId="0" xfId="2" applyFont="1"/>
    <xf numFmtId="38" fontId="11" fillId="0" borderId="0" xfId="0" applyNumberFormat="1" applyFont="1" applyAlignment="1">
      <alignment vertical="center" wrapText="1"/>
    </xf>
    <xf numFmtId="9" fontId="10" fillId="0" borderId="2" xfId="2" applyNumberFormat="1" applyFont="1" applyBorder="1" applyAlignment="1">
      <alignment horizontal="center" vertical="center" wrapText="1"/>
    </xf>
    <xf numFmtId="3" fontId="11" fillId="4" borderId="2" xfId="0" applyNumberFormat="1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center" vertical="center" wrapText="1"/>
    </xf>
    <xf numFmtId="38" fontId="12" fillId="0" borderId="16" xfId="0" applyNumberFormat="1" applyFont="1" applyFill="1" applyBorder="1" applyAlignment="1">
      <alignment horizontal="right" vertical="center" wrapText="1"/>
    </xf>
    <xf numFmtId="165" fontId="9" fillId="0" borderId="16" xfId="1" applyNumberFormat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center" vertical="center" wrapText="1"/>
    </xf>
    <xf numFmtId="38" fontId="12" fillId="0" borderId="15" xfId="0" applyNumberFormat="1" applyFont="1" applyFill="1" applyBorder="1" applyAlignment="1">
      <alignment horizontal="right" vertical="center" wrapText="1"/>
    </xf>
    <xf numFmtId="165" fontId="9" fillId="0" borderId="15" xfId="1" applyNumberFormat="1" applyFont="1" applyFill="1" applyBorder="1" applyAlignment="1">
      <alignment horizontal="right" vertical="center"/>
    </xf>
    <xf numFmtId="0" fontId="9" fillId="0" borderId="9" xfId="0" applyFont="1" applyFill="1" applyBorder="1" applyAlignment="1">
      <alignment vertical="center" wrapText="1"/>
    </xf>
    <xf numFmtId="0" fontId="9" fillId="0" borderId="17" xfId="0" applyFont="1" applyFill="1" applyBorder="1" applyAlignment="1">
      <alignment horizontal="center" vertical="center" wrapText="1"/>
    </xf>
    <xf numFmtId="38" fontId="13" fillId="0" borderId="17" xfId="0" applyNumberFormat="1" applyFont="1" applyFill="1" applyBorder="1" applyAlignment="1">
      <alignment horizontal="right" vertical="center"/>
    </xf>
    <xf numFmtId="38" fontId="9" fillId="0" borderId="17" xfId="0" applyNumberFormat="1" applyFont="1" applyFill="1" applyBorder="1" applyAlignment="1">
      <alignment horizontal="right" vertical="center"/>
    </xf>
    <xf numFmtId="0" fontId="9" fillId="0" borderId="14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center" vertical="center" wrapText="1"/>
    </xf>
    <xf numFmtId="38" fontId="12" fillId="0" borderId="24" xfId="0" applyNumberFormat="1" applyFont="1" applyFill="1" applyBorder="1" applyAlignment="1">
      <alignment horizontal="right" vertical="center" wrapText="1"/>
    </xf>
    <xf numFmtId="165" fontId="9" fillId="0" borderId="24" xfId="1" applyNumberFormat="1" applyFont="1" applyFill="1" applyBorder="1" applyAlignment="1">
      <alignment horizontal="right" vertical="center"/>
    </xf>
    <xf numFmtId="0" fontId="9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 wrapText="1"/>
    </xf>
    <xf numFmtId="38" fontId="14" fillId="0" borderId="7" xfId="0" applyNumberFormat="1" applyFont="1" applyFill="1" applyBorder="1" applyAlignment="1">
      <alignment horizontal="right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4" borderId="16" xfId="0" applyFill="1" applyBorder="1" applyAlignment="1">
      <alignment horizontal="center" vertical="center" wrapText="1"/>
    </xf>
    <xf numFmtId="3" fontId="3" fillId="0" borderId="15" xfId="0" applyNumberFormat="1" applyFont="1" applyFill="1" applyBorder="1" applyAlignment="1">
      <alignment horizontal="center" vertical="center" wrapText="1"/>
    </xf>
    <xf numFmtId="3" fontId="0" fillId="0" borderId="15" xfId="0" applyNumberForma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 wrapText="1"/>
    </xf>
    <xf numFmtId="3" fontId="0" fillId="0" borderId="16" xfId="0" applyNumberForma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3" fontId="3" fillId="0" borderId="17" xfId="0" applyNumberFormat="1" applyFont="1" applyFill="1" applyBorder="1" applyAlignment="1">
      <alignment horizontal="center" vertical="center" wrapText="1"/>
    </xf>
    <xf numFmtId="3" fontId="0" fillId="0" borderId="24" xfId="0" applyNumberForma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vertical="center" wrapText="1"/>
    </xf>
    <xf numFmtId="0" fontId="0" fillId="0" borderId="26" xfId="0" applyFont="1" applyFill="1" applyBorder="1" applyAlignment="1">
      <alignment horizontal="center" vertical="center" wrapText="1"/>
    </xf>
    <xf numFmtId="3" fontId="0" fillId="0" borderId="26" xfId="0" applyNumberFormat="1" applyFont="1" applyFill="1" applyBorder="1" applyAlignment="1">
      <alignment vertical="center" wrapText="1"/>
    </xf>
    <xf numFmtId="0" fontId="0" fillId="0" borderId="19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2" fillId="0" borderId="0" xfId="0" applyFont="1"/>
    <xf numFmtId="0" fontId="2" fillId="0" borderId="0" xfId="0" applyFont="1"/>
    <xf numFmtId="0" fontId="0" fillId="3" borderId="0" xfId="0" applyFont="1" applyFill="1"/>
    <xf numFmtId="0" fontId="0" fillId="3" borderId="0" xfId="0" applyFont="1" applyFill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/>
    </xf>
    <xf numFmtId="3" fontId="0" fillId="3" borderId="26" xfId="0" applyNumberFormat="1" applyFont="1" applyFill="1" applyBorder="1" applyAlignment="1">
      <alignment horizontal="center" vertical="center"/>
    </xf>
    <xf numFmtId="3" fontId="0" fillId="3" borderId="16" xfId="0" applyNumberFormat="1" applyFont="1" applyFill="1" applyBorder="1" applyAlignment="1">
      <alignment vertical="center"/>
    </xf>
    <xf numFmtId="3" fontId="0" fillId="3" borderId="2" xfId="0" applyNumberFormat="1" applyFont="1" applyFill="1" applyBorder="1"/>
    <xf numFmtId="3" fontId="0" fillId="3" borderId="1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right" vertical="center"/>
    </xf>
    <xf numFmtId="3" fontId="3" fillId="3" borderId="0" xfId="0" applyNumberFormat="1" applyFont="1" applyFill="1"/>
    <xf numFmtId="0" fontId="0" fillId="3" borderId="0" xfId="0" applyFill="1"/>
    <xf numFmtId="3" fontId="0" fillId="3" borderId="0" xfId="0" applyNumberFormat="1" applyFill="1"/>
    <xf numFmtId="3" fontId="25" fillId="6" borderId="2" xfId="0" applyNumberFormat="1" applyFont="1" applyFill="1" applyBorder="1" applyAlignment="1">
      <alignment horizontal="center" vertical="center"/>
    </xf>
    <xf numFmtId="0" fontId="10" fillId="3" borderId="0" xfId="0" applyFont="1" applyFill="1"/>
    <xf numFmtId="0" fontId="9" fillId="3" borderId="0" xfId="0" applyFont="1" applyFill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3" fontId="9" fillId="3" borderId="16" xfId="0" applyNumberFormat="1" applyFont="1" applyFill="1" applyBorder="1" applyAlignment="1">
      <alignment horizontal="center" vertical="center"/>
    </xf>
    <xf numFmtId="165" fontId="9" fillId="3" borderId="16" xfId="1" applyNumberFormat="1" applyFont="1" applyFill="1" applyBorder="1" applyAlignment="1">
      <alignment horizontal="right" vertical="center"/>
    </xf>
    <xf numFmtId="3" fontId="10" fillId="3" borderId="2" xfId="0" applyNumberFormat="1" applyFont="1" applyFill="1" applyBorder="1"/>
    <xf numFmtId="38" fontId="14" fillId="3" borderId="0" xfId="0" applyNumberFormat="1" applyFont="1" applyFill="1" applyBorder="1" applyAlignment="1">
      <alignment horizontal="right" vertical="center"/>
    </xf>
    <xf numFmtId="38" fontId="14" fillId="3" borderId="7" xfId="0" applyNumberFormat="1" applyFont="1" applyFill="1" applyBorder="1" applyAlignment="1">
      <alignment horizontal="right" vertical="center"/>
    </xf>
    <xf numFmtId="3" fontId="11" fillId="3" borderId="0" xfId="0" applyNumberFormat="1" applyFont="1" applyFill="1"/>
    <xf numFmtId="38" fontId="15" fillId="3" borderId="0" xfId="0" applyNumberFormat="1" applyFont="1" applyFill="1" applyBorder="1" applyAlignment="1">
      <alignment horizontal="right" vertical="center"/>
    </xf>
    <xf numFmtId="0" fontId="17" fillId="3" borderId="0" xfId="0" applyFont="1" applyFill="1"/>
    <xf numFmtId="0" fontId="6" fillId="3" borderId="0" xfId="0" applyFont="1" applyFill="1" applyAlignment="1">
      <alignment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3" fontId="6" fillId="3" borderId="9" xfId="0" applyNumberFormat="1" applyFont="1" applyFill="1" applyBorder="1" applyAlignment="1">
      <alignment horizontal="center" vertical="center"/>
    </xf>
    <xf numFmtId="38" fontId="6" fillId="3" borderId="10" xfId="0" applyNumberFormat="1" applyFont="1" applyFill="1" applyBorder="1" applyAlignment="1">
      <alignment horizontal="right" vertical="center"/>
    </xf>
    <xf numFmtId="3" fontId="17" fillId="3" borderId="2" xfId="0" applyNumberFormat="1" applyFont="1" applyFill="1" applyBorder="1"/>
    <xf numFmtId="38" fontId="20" fillId="3" borderId="0" xfId="0" applyNumberFormat="1" applyFont="1" applyFill="1" applyBorder="1" applyAlignment="1">
      <alignment horizontal="right" vertical="center"/>
    </xf>
    <xf numFmtId="38" fontId="20" fillId="3" borderId="7" xfId="0" applyNumberFormat="1" applyFont="1" applyFill="1" applyBorder="1" applyAlignment="1">
      <alignment horizontal="right" vertical="center"/>
    </xf>
    <xf numFmtId="3" fontId="18" fillId="3" borderId="0" xfId="0" applyNumberFormat="1" applyFont="1" applyFill="1"/>
    <xf numFmtId="0" fontId="2" fillId="3" borderId="0" xfId="0" applyFont="1" applyFill="1"/>
    <xf numFmtId="38" fontId="6" fillId="3" borderId="0" xfId="0" applyNumberFormat="1" applyFont="1" applyFill="1" applyAlignment="1">
      <alignment vertical="center" wrapText="1"/>
    </xf>
    <xf numFmtId="0" fontId="7" fillId="3" borderId="2" xfId="0" applyFont="1" applyFill="1" applyBorder="1" applyAlignment="1">
      <alignment vertical="center"/>
    </xf>
    <xf numFmtId="38" fontId="6" fillId="3" borderId="0" xfId="0" applyNumberFormat="1" applyFont="1" applyFill="1" applyBorder="1" applyAlignment="1">
      <alignment vertical="center" wrapText="1"/>
    </xf>
    <xf numFmtId="38" fontId="16" fillId="3" borderId="2" xfId="0" applyNumberFormat="1" applyFont="1" applyFill="1" applyBorder="1" applyAlignment="1">
      <alignment horizontal="center" vertical="center" wrapText="1"/>
    </xf>
    <xf numFmtId="38" fontId="21" fillId="3" borderId="5" xfId="0" applyNumberFormat="1" applyFont="1" applyFill="1" applyBorder="1" applyAlignment="1">
      <alignment vertical="center" wrapText="1"/>
    </xf>
    <xf numFmtId="38" fontId="6" fillId="3" borderId="0" xfId="0" applyNumberFormat="1" applyFont="1" applyFill="1" applyBorder="1" applyAlignment="1">
      <alignment horizontal="left" vertical="center" wrapText="1"/>
    </xf>
    <xf numFmtId="38" fontId="6" fillId="3" borderId="0" xfId="0" applyNumberFormat="1" applyFont="1" applyFill="1" applyBorder="1" applyAlignment="1">
      <alignment horizontal="center" vertical="center" wrapText="1"/>
    </xf>
    <xf numFmtId="38" fontId="21" fillId="3" borderId="2" xfId="0" applyNumberFormat="1" applyFont="1" applyFill="1" applyBorder="1" applyAlignment="1">
      <alignment horizontal="center" vertical="center" wrapText="1"/>
    </xf>
    <xf numFmtId="38" fontId="16" fillId="3" borderId="4" xfId="0" applyNumberFormat="1" applyFont="1" applyFill="1" applyBorder="1" applyAlignment="1">
      <alignment horizontal="center" vertical="center" wrapText="1"/>
    </xf>
    <xf numFmtId="38" fontId="21" fillId="3" borderId="2" xfId="0" applyNumberFormat="1" applyFont="1" applyFill="1" applyBorder="1" applyAlignment="1">
      <alignment vertical="center" wrapText="1"/>
    </xf>
    <xf numFmtId="38" fontId="16" fillId="3" borderId="2" xfId="0" applyNumberFormat="1" applyFont="1" applyFill="1" applyBorder="1" applyAlignment="1">
      <alignment vertical="center" wrapText="1"/>
    </xf>
    <xf numFmtId="38" fontId="6" fillId="3" borderId="2" xfId="0" applyNumberFormat="1" applyFont="1" applyFill="1" applyBorder="1" applyAlignment="1">
      <alignment horizontal="center" vertical="center" wrapText="1"/>
    </xf>
    <xf numFmtId="38" fontId="6" fillId="3" borderId="0" xfId="0" applyNumberFormat="1" applyFont="1" applyFill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/>
    </xf>
    <xf numFmtId="3" fontId="18" fillId="3" borderId="2" xfId="0" applyNumberFormat="1" applyFont="1" applyFill="1" applyBorder="1" applyAlignment="1">
      <alignment horizontal="center"/>
    </xf>
    <xf numFmtId="3" fontId="11" fillId="0" borderId="0" xfId="0" applyNumberFormat="1" applyFont="1" applyBorder="1" applyAlignment="1">
      <alignment vertical="center" wrapText="1"/>
    </xf>
    <xf numFmtId="38" fontId="11" fillId="7" borderId="0" xfId="0" applyNumberFormat="1" applyFont="1" applyFill="1" applyAlignment="1">
      <alignment vertical="center" wrapText="1"/>
    </xf>
    <xf numFmtId="3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15" fontId="0" fillId="0" borderId="0" xfId="0" applyNumberForma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8" fontId="16" fillId="0" borderId="0" xfId="0" applyNumberFormat="1" applyFont="1" applyAlignment="1">
      <alignment horizontal="center" vertical="center" wrapText="1"/>
    </xf>
    <xf numFmtId="38" fontId="6" fillId="0" borderId="4" xfId="0" applyNumberFormat="1" applyFont="1" applyBorder="1" applyAlignment="1">
      <alignment horizontal="center" vertical="center" wrapText="1"/>
    </xf>
    <xf numFmtId="38" fontId="6" fillId="0" borderId="23" xfId="0" applyNumberFormat="1" applyFont="1" applyBorder="1" applyAlignment="1">
      <alignment horizontal="center" vertical="center" wrapText="1"/>
    </xf>
    <xf numFmtId="38" fontId="6" fillId="0" borderId="7" xfId="0" applyNumberFormat="1" applyFont="1" applyBorder="1" applyAlignment="1">
      <alignment horizontal="center" vertical="center" wrapText="1"/>
    </xf>
    <xf numFmtId="38" fontId="6" fillId="0" borderId="5" xfId="0" applyNumberFormat="1" applyFont="1" applyBorder="1" applyAlignment="1">
      <alignment horizontal="center" vertical="center" wrapText="1"/>
    </xf>
    <xf numFmtId="38" fontId="6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3" fontId="3" fillId="3" borderId="0" xfId="0" applyNumberFormat="1" applyFont="1" applyFill="1" applyBorder="1" applyAlignment="1">
      <alignment horizontal="center" vertical="center" wrapText="1"/>
    </xf>
    <xf numFmtId="0" fontId="0" fillId="3" borderId="0" xfId="0" applyFill="1" applyBorder="1"/>
    <xf numFmtId="3" fontId="0" fillId="3" borderId="25" xfId="0" applyNumberFormat="1" applyFont="1" applyFill="1" applyBorder="1" applyAlignment="1">
      <alignment horizontal="center" vertical="center" wrapText="1"/>
    </xf>
    <xf numFmtId="38" fontId="0" fillId="3" borderId="16" xfId="0" applyNumberFormat="1" applyFill="1" applyBorder="1" applyAlignment="1">
      <alignment horizontal="center" vertical="center" wrapText="1"/>
    </xf>
    <xf numFmtId="38" fontId="0" fillId="3" borderId="17" xfId="0" applyNumberFormat="1" applyFill="1" applyBorder="1" applyAlignment="1">
      <alignment horizontal="center" vertical="center" wrapText="1"/>
    </xf>
  </cellXfs>
  <cellStyles count="13"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2"/>
  <sheetViews>
    <sheetView topLeftCell="A4" workbookViewId="0">
      <selection activeCell="A9" sqref="A9:XFD9"/>
    </sheetView>
  </sheetViews>
  <sheetFormatPr baseColWidth="10" defaultRowHeight="15" x14ac:dyDescent="0.25"/>
  <cols>
    <col min="1" max="1" width="32.85546875" customWidth="1"/>
    <col min="2" max="2" width="32.42578125" customWidth="1"/>
  </cols>
  <sheetData>
    <row r="2" spans="1:2" x14ac:dyDescent="0.25">
      <c r="A2" s="2"/>
      <c r="B2" s="2"/>
    </row>
    <row r="3" spans="1:2" x14ac:dyDescent="0.25">
      <c r="A3" s="6" t="s">
        <v>0</v>
      </c>
      <c r="B3" s="6"/>
    </row>
    <row r="4" spans="1:2" ht="11.25" customHeight="1" x14ac:dyDescent="0.25">
      <c r="A4" s="3"/>
      <c r="B4" s="3"/>
    </row>
    <row r="5" spans="1:2" ht="23.25" customHeight="1" x14ac:dyDescent="0.25">
      <c r="A5" s="101" t="s">
        <v>1</v>
      </c>
      <c r="B5" s="102" t="s">
        <v>2</v>
      </c>
    </row>
    <row r="6" spans="1:2" ht="21.75" customHeight="1" x14ac:dyDescent="0.25">
      <c r="A6" s="96" t="s">
        <v>3</v>
      </c>
      <c r="B6" s="8" t="s">
        <v>124</v>
      </c>
    </row>
    <row r="7" spans="1:2" x14ac:dyDescent="0.25">
      <c r="A7" s="97" t="s">
        <v>4</v>
      </c>
      <c r="B7" s="7" t="s">
        <v>5</v>
      </c>
    </row>
    <row r="8" spans="1:2" ht="18.75" customHeight="1" x14ac:dyDescent="0.25">
      <c r="A8" s="97" t="s">
        <v>6</v>
      </c>
      <c r="B8" s="7" t="s">
        <v>7</v>
      </c>
    </row>
    <row r="9" spans="1:2" x14ac:dyDescent="0.25">
      <c r="A9" s="97" t="s">
        <v>4</v>
      </c>
      <c r="B9" s="7" t="s">
        <v>8</v>
      </c>
    </row>
    <row r="10" spans="1:2" ht="20.25" customHeight="1" x14ac:dyDescent="0.25">
      <c r="A10" s="97" t="s">
        <v>9</v>
      </c>
      <c r="B10" s="103">
        <v>150</v>
      </c>
    </row>
    <row r="11" spans="1:2" ht="15.75" customHeight="1" x14ac:dyDescent="0.25">
      <c r="A11" s="97" t="s">
        <v>10</v>
      </c>
      <c r="B11" s="104">
        <v>14</v>
      </c>
    </row>
    <row r="12" spans="1:2" ht="27.75" customHeight="1" x14ac:dyDescent="0.25">
      <c r="A12" s="97" t="s">
        <v>11</v>
      </c>
      <c r="B12" s="104">
        <v>10</v>
      </c>
    </row>
    <row r="13" spans="1:2" ht="30.75" customHeight="1" x14ac:dyDescent="0.25">
      <c r="A13" s="98" t="s">
        <v>12</v>
      </c>
      <c r="B13" s="105" t="s">
        <v>13</v>
      </c>
    </row>
    <row r="14" spans="1:2" ht="20.25" customHeight="1" x14ac:dyDescent="0.25">
      <c r="A14" s="96" t="s">
        <v>14</v>
      </c>
      <c r="B14" s="106" t="s">
        <v>92</v>
      </c>
    </row>
    <row r="15" spans="1:2" ht="21.75" customHeight="1" x14ac:dyDescent="0.25">
      <c r="A15" s="97" t="s">
        <v>15</v>
      </c>
      <c r="B15" s="104">
        <v>0</v>
      </c>
    </row>
    <row r="16" spans="1:2" ht="23.25" customHeight="1" x14ac:dyDescent="0.25">
      <c r="A16" s="97" t="s">
        <v>16</v>
      </c>
      <c r="B16" s="104">
        <v>0</v>
      </c>
    </row>
    <row r="17" spans="1:2" ht="24" customHeight="1" x14ac:dyDescent="0.25">
      <c r="A17" s="97" t="s">
        <v>17</v>
      </c>
      <c r="B17" s="104">
        <v>0</v>
      </c>
    </row>
    <row r="18" spans="1:2" ht="20.25" customHeight="1" x14ac:dyDescent="0.25">
      <c r="A18" s="99" t="s">
        <v>18</v>
      </c>
      <c r="B18" s="107">
        <v>1</v>
      </c>
    </row>
    <row r="19" spans="1:2" ht="28.5" customHeight="1" x14ac:dyDescent="0.25">
      <c r="A19" s="99" t="s">
        <v>19</v>
      </c>
      <c r="B19" s="107"/>
    </row>
    <row r="20" spans="1:2" ht="27" customHeight="1" x14ac:dyDescent="0.25">
      <c r="A20" s="98" t="s">
        <v>20</v>
      </c>
      <c r="B20" s="108">
        <f>SUM(B14:B18)</f>
        <v>1</v>
      </c>
    </row>
    <row r="21" spans="1:2" ht="18.75" customHeight="1" x14ac:dyDescent="0.25">
      <c r="A21" s="96" t="s">
        <v>21</v>
      </c>
      <c r="B21" s="106">
        <v>0</v>
      </c>
    </row>
    <row r="22" spans="1:2" ht="26.25" customHeight="1" x14ac:dyDescent="0.25">
      <c r="A22" s="97" t="s">
        <v>22</v>
      </c>
      <c r="B22" s="104">
        <v>0</v>
      </c>
    </row>
    <row r="23" spans="1:2" ht="23.25" customHeight="1" x14ac:dyDescent="0.25">
      <c r="A23" s="97" t="s">
        <v>23</v>
      </c>
      <c r="B23" s="104">
        <v>0</v>
      </c>
    </row>
    <row r="24" spans="1:2" ht="14.25" customHeight="1" x14ac:dyDescent="0.25">
      <c r="A24" s="97" t="s">
        <v>24</v>
      </c>
      <c r="B24" s="104">
        <v>0</v>
      </c>
    </row>
    <row r="25" spans="1:2" ht="24.75" customHeight="1" x14ac:dyDescent="0.25">
      <c r="A25" s="99" t="s">
        <v>25</v>
      </c>
      <c r="B25" s="109">
        <f>+B18*4</f>
        <v>4</v>
      </c>
    </row>
    <row r="26" spans="1:2" ht="21.75" customHeight="1" x14ac:dyDescent="0.25">
      <c r="A26" s="99" t="s">
        <v>26</v>
      </c>
      <c r="B26" s="109">
        <f>(21*3)+(2*2)+(2)+(2)+(B25)</f>
        <v>75</v>
      </c>
    </row>
    <row r="27" spans="1:2" ht="15" customHeight="1" x14ac:dyDescent="0.25">
      <c r="A27" s="98" t="s">
        <v>27</v>
      </c>
      <c r="B27" s="108">
        <f>SUM(B21:B24)</f>
        <v>0</v>
      </c>
    </row>
    <row r="28" spans="1:2" ht="32.25" customHeight="1" x14ac:dyDescent="0.25">
      <c r="A28" s="100" t="s">
        <v>28</v>
      </c>
      <c r="B28" s="192">
        <v>5</v>
      </c>
    </row>
    <row r="29" spans="1:2" ht="21.75" customHeight="1" x14ac:dyDescent="0.25">
      <c r="A29" s="96" t="s">
        <v>29</v>
      </c>
      <c r="B29" s="193"/>
    </row>
    <row r="30" spans="1:2" ht="18.75" customHeight="1" x14ac:dyDescent="0.25">
      <c r="A30" s="98" t="s">
        <v>30</v>
      </c>
      <c r="B30" s="194"/>
    </row>
    <row r="31" spans="1:2" ht="32.25" customHeight="1" x14ac:dyDescent="0.25">
      <c r="A31" s="189"/>
      <c r="B31" s="190"/>
    </row>
    <row r="32" spans="1:2" x14ac:dyDescent="0.25">
      <c r="A32" s="191"/>
      <c r="B32" s="191"/>
    </row>
  </sheetData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topLeftCell="A3" zoomScale="90" zoomScaleNormal="90" zoomScalePageLayoutView="90" workbookViewId="0">
      <selection activeCell="G25" sqref="G25"/>
    </sheetView>
  </sheetViews>
  <sheetFormatPr baseColWidth="10" defaultRowHeight="15" x14ac:dyDescent="0.25"/>
  <cols>
    <col min="1" max="1" width="30.42578125" customWidth="1"/>
    <col min="5" max="5" width="10.85546875" style="128"/>
    <col min="6" max="6" width="17.42578125" style="128" customWidth="1"/>
    <col min="7" max="8" width="10.85546875" style="128"/>
    <col min="9" max="9" width="16.85546875" style="128" bestFit="1" customWidth="1"/>
  </cols>
  <sheetData>
    <row r="1" spans="1:9" x14ac:dyDescent="0.25">
      <c r="A1" s="9"/>
      <c r="B1" s="9"/>
      <c r="C1" s="9"/>
      <c r="D1" s="9"/>
      <c r="E1" s="131"/>
      <c r="F1" s="131"/>
      <c r="G1" s="131"/>
      <c r="H1" s="131"/>
      <c r="I1" s="131"/>
    </row>
    <row r="2" spans="1:9" x14ac:dyDescent="0.25">
      <c r="A2" s="177" t="s">
        <v>31</v>
      </c>
      <c r="B2" s="177"/>
      <c r="C2" s="177"/>
      <c r="D2" s="177"/>
      <c r="E2" s="177"/>
      <c r="F2" s="177"/>
      <c r="G2" s="131"/>
      <c r="H2" s="131"/>
      <c r="I2" s="131"/>
    </row>
    <row r="3" spans="1:9" x14ac:dyDescent="0.25">
      <c r="A3" s="13"/>
      <c r="B3" s="14"/>
      <c r="C3" s="15"/>
      <c r="D3" s="13"/>
      <c r="E3" s="132"/>
      <c r="F3" s="132"/>
      <c r="G3" s="131"/>
      <c r="H3" s="131"/>
      <c r="I3" s="131"/>
    </row>
    <row r="4" spans="1:9" x14ac:dyDescent="0.25">
      <c r="A4" s="16" t="s">
        <v>32</v>
      </c>
      <c r="B4" s="16" t="s">
        <v>33</v>
      </c>
      <c r="C4" s="10" t="s">
        <v>34</v>
      </c>
      <c r="D4" s="17" t="s">
        <v>35</v>
      </c>
      <c r="E4" s="133" t="s">
        <v>36</v>
      </c>
      <c r="F4" s="134" t="s">
        <v>37</v>
      </c>
      <c r="G4" s="131"/>
      <c r="H4" s="166" t="s">
        <v>38</v>
      </c>
      <c r="I4" s="120" t="s">
        <v>96</v>
      </c>
    </row>
    <row r="5" spans="1:9" ht="27" x14ac:dyDescent="0.25">
      <c r="A5" s="77" t="s">
        <v>39</v>
      </c>
      <c r="B5" s="78">
        <v>1</v>
      </c>
      <c r="C5" s="79">
        <v>2500000</v>
      </c>
      <c r="D5" s="80">
        <f t="shared" ref="D5:D10" si="0">+C5</f>
        <v>2500000</v>
      </c>
      <c r="E5" s="135">
        <v>7</v>
      </c>
      <c r="F5" s="136">
        <f>D5*E5</f>
        <v>17500000</v>
      </c>
      <c r="G5" s="131"/>
      <c r="H5" s="137">
        <f>1500000*E5</f>
        <v>10500000</v>
      </c>
      <c r="I5" s="137">
        <f>+F5-H5</f>
        <v>7000000</v>
      </c>
    </row>
    <row r="6" spans="1:9" x14ac:dyDescent="0.25">
      <c r="A6" s="81" t="s">
        <v>40</v>
      </c>
      <c r="B6" s="82">
        <v>1</v>
      </c>
      <c r="C6" s="83">
        <v>1800000</v>
      </c>
      <c r="D6" s="84">
        <f t="shared" si="0"/>
        <v>1800000</v>
      </c>
      <c r="E6" s="135">
        <v>7</v>
      </c>
      <c r="F6" s="136">
        <f t="shared" ref="F6:F10" si="1">D6*E6</f>
        <v>12600000</v>
      </c>
      <c r="G6" s="131"/>
      <c r="H6" s="137">
        <f>200000*E6</f>
        <v>1400000</v>
      </c>
      <c r="I6" s="137">
        <f>+F6-H6</f>
        <v>11200000</v>
      </c>
    </row>
    <row r="7" spans="1:9" x14ac:dyDescent="0.25">
      <c r="A7" s="81" t="s">
        <v>41</v>
      </c>
      <c r="B7" s="82">
        <v>1</v>
      </c>
      <c r="C7" s="83">
        <v>500000</v>
      </c>
      <c r="D7" s="84">
        <f t="shared" si="0"/>
        <v>500000</v>
      </c>
      <c r="E7" s="135">
        <v>7</v>
      </c>
      <c r="F7" s="136">
        <f t="shared" si="1"/>
        <v>3500000</v>
      </c>
      <c r="G7" s="131"/>
      <c r="H7" s="137">
        <v>0</v>
      </c>
      <c r="I7" s="137">
        <f>+F7</f>
        <v>3500000</v>
      </c>
    </row>
    <row r="8" spans="1:9" x14ac:dyDescent="0.25">
      <c r="A8" s="81" t="s">
        <v>42</v>
      </c>
      <c r="B8" s="82">
        <v>1</v>
      </c>
      <c r="C8" s="83">
        <v>500000</v>
      </c>
      <c r="D8" s="84">
        <f t="shared" si="0"/>
        <v>500000</v>
      </c>
      <c r="E8" s="135">
        <v>7</v>
      </c>
      <c r="F8" s="136">
        <f t="shared" si="1"/>
        <v>3500000</v>
      </c>
      <c r="G8" s="131"/>
      <c r="H8" s="137">
        <v>0</v>
      </c>
      <c r="I8" s="137">
        <f t="shared" ref="I8:I10" si="2">+F8</f>
        <v>3500000</v>
      </c>
    </row>
    <row r="9" spans="1:9" x14ac:dyDescent="0.25">
      <c r="A9" s="85" t="s">
        <v>43</v>
      </c>
      <c r="B9" s="86">
        <v>1</v>
      </c>
      <c r="C9" s="87">
        <v>500000</v>
      </c>
      <c r="D9" s="88">
        <f t="shared" si="0"/>
        <v>500000</v>
      </c>
      <c r="E9" s="135">
        <v>7</v>
      </c>
      <c r="F9" s="136">
        <f t="shared" si="1"/>
        <v>3500000</v>
      </c>
      <c r="G9" s="131"/>
      <c r="H9" s="137"/>
      <c r="I9" s="137">
        <f t="shared" si="2"/>
        <v>3500000</v>
      </c>
    </row>
    <row r="10" spans="1:9" x14ac:dyDescent="0.25">
      <c r="A10" s="89" t="s">
        <v>44</v>
      </c>
      <c r="B10" s="90">
        <v>1</v>
      </c>
      <c r="C10" s="91">
        <v>800000</v>
      </c>
      <c r="D10" s="92">
        <f t="shared" si="0"/>
        <v>800000</v>
      </c>
      <c r="E10" s="135">
        <v>7</v>
      </c>
      <c r="F10" s="136">
        <f t="shared" si="1"/>
        <v>5600000</v>
      </c>
      <c r="G10" s="131"/>
      <c r="H10" s="137"/>
      <c r="I10" s="137">
        <f t="shared" si="2"/>
        <v>5600000</v>
      </c>
    </row>
    <row r="11" spans="1:9" x14ac:dyDescent="0.25">
      <c r="A11" s="93" t="s">
        <v>45</v>
      </c>
      <c r="B11" s="94">
        <v>9</v>
      </c>
      <c r="C11" s="95">
        <v>9800000</v>
      </c>
      <c r="D11" s="95">
        <v>9800000</v>
      </c>
      <c r="E11" s="138"/>
      <c r="F11" s="139">
        <f>SUM(F5:F10)</f>
        <v>46200000</v>
      </c>
      <c r="G11" s="131"/>
      <c r="H11" s="140">
        <f>SUM(H5:H10)</f>
        <v>11900000</v>
      </c>
      <c r="I11" s="140">
        <f>SUM(I5:I10)</f>
        <v>34300000</v>
      </c>
    </row>
    <row r="12" spans="1:9" x14ac:dyDescent="0.25">
      <c r="A12" s="18"/>
      <c r="B12" s="19"/>
      <c r="C12" s="20"/>
      <c r="D12" s="20"/>
      <c r="E12" s="141"/>
      <c r="F12" s="141"/>
      <c r="G12" s="131"/>
      <c r="H12" s="131"/>
      <c r="I12" s="131"/>
    </row>
    <row r="13" spans="1:9" x14ac:dyDescent="0.25">
      <c r="A13" s="178" t="s">
        <v>46</v>
      </c>
      <c r="B13" s="178"/>
      <c r="C13" s="178"/>
      <c r="D13" s="178"/>
      <c r="E13" s="178"/>
      <c r="F13" s="178"/>
      <c r="G13" s="142"/>
      <c r="H13" s="142"/>
      <c r="I13" s="142"/>
    </row>
    <row r="14" spans="1:9" x14ac:dyDescent="0.25">
      <c r="A14" s="22"/>
      <c r="B14" s="23"/>
      <c r="C14" s="24"/>
      <c r="D14" s="22"/>
      <c r="E14" s="143"/>
      <c r="F14" s="143"/>
      <c r="G14" s="142"/>
      <c r="H14" s="142"/>
      <c r="I14" s="142"/>
    </row>
    <row r="15" spans="1:9" x14ac:dyDescent="0.25">
      <c r="A15" s="25" t="s">
        <v>32</v>
      </c>
      <c r="B15" s="25" t="s">
        <v>33</v>
      </c>
      <c r="C15" s="26" t="s">
        <v>47</v>
      </c>
      <c r="D15" s="27" t="s">
        <v>48</v>
      </c>
      <c r="E15" s="144" t="s">
        <v>49</v>
      </c>
      <c r="F15" s="145" t="s">
        <v>37</v>
      </c>
      <c r="G15" s="142"/>
      <c r="H15" s="167" t="s">
        <v>38</v>
      </c>
      <c r="I15" s="120" t="s">
        <v>96</v>
      </c>
    </row>
    <row r="16" spans="1:9" x14ac:dyDescent="0.25">
      <c r="A16" s="28" t="s">
        <v>50</v>
      </c>
      <c r="B16" s="29">
        <v>0</v>
      </c>
      <c r="C16" s="30">
        <v>60000</v>
      </c>
      <c r="D16" s="31">
        <v>75000</v>
      </c>
      <c r="E16" s="146">
        <v>4</v>
      </c>
      <c r="F16" s="147">
        <f>C16*E16*B16</f>
        <v>0</v>
      </c>
      <c r="G16" s="142"/>
      <c r="H16" s="148">
        <v>25000000</v>
      </c>
      <c r="I16" s="148">
        <v>35000000</v>
      </c>
    </row>
    <row r="17" spans="1:9" x14ac:dyDescent="0.25">
      <c r="A17" s="32" t="s">
        <v>51</v>
      </c>
      <c r="B17" s="25">
        <v>1</v>
      </c>
      <c r="C17" s="33"/>
      <c r="D17" s="33"/>
      <c r="E17" s="149"/>
      <c r="F17" s="150">
        <f>SUM(F16:F16)</f>
        <v>0</v>
      </c>
      <c r="G17" s="142"/>
      <c r="H17" s="151">
        <v>25000000</v>
      </c>
      <c r="I17" s="151">
        <v>35000000</v>
      </c>
    </row>
    <row r="22" spans="1:9" x14ac:dyDescent="0.25">
      <c r="B22" s="1"/>
      <c r="D22" s="1"/>
    </row>
    <row r="23" spans="1:9" ht="15.75" x14ac:dyDescent="0.25">
      <c r="B23" s="1"/>
      <c r="D23" s="115"/>
    </row>
    <row r="24" spans="1:9" x14ac:dyDescent="0.25">
      <c r="B24" s="1"/>
      <c r="C24" s="1"/>
      <c r="D24" s="1"/>
    </row>
    <row r="25" spans="1:9" x14ac:dyDescent="0.25">
      <c r="B25" s="1"/>
      <c r="C25" s="1"/>
      <c r="D25" s="1"/>
    </row>
    <row r="26" spans="1:9" s="1" customFormat="1" x14ac:dyDescent="0.25">
      <c r="E26" s="128"/>
      <c r="F26" s="128"/>
      <c r="G26" s="128"/>
      <c r="H26" s="128"/>
      <c r="I26" s="128"/>
    </row>
    <row r="27" spans="1:9" x14ac:dyDescent="0.25">
      <c r="B27" s="1"/>
      <c r="C27" s="1"/>
      <c r="D27" s="1"/>
    </row>
    <row r="28" spans="1:9" x14ac:dyDescent="0.25">
      <c r="B28" s="1"/>
      <c r="C28" s="1"/>
      <c r="D28" s="1"/>
    </row>
    <row r="29" spans="1:9" x14ac:dyDescent="0.25">
      <c r="B29" s="116"/>
      <c r="C29" s="116"/>
      <c r="D29" s="116"/>
      <c r="E29" s="152"/>
      <c r="F29" s="152"/>
      <c r="G29" s="152"/>
      <c r="H29" s="152"/>
    </row>
  </sheetData>
  <mergeCells count="2">
    <mergeCell ref="A2:F2"/>
    <mergeCell ref="A13:F1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showGridLines="0" workbookViewId="0">
      <selection activeCell="C19" sqref="C19"/>
    </sheetView>
  </sheetViews>
  <sheetFormatPr baseColWidth="10" defaultRowHeight="15" x14ac:dyDescent="0.25"/>
  <cols>
    <col min="1" max="1" width="33.28515625" customWidth="1"/>
    <col min="2" max="2" width="22.42578125" style="128" customWidth="1"/>
    <col min="3" max="3" width="10.85546875" style="128"/>
    <col min="4" max="4" width="16.42578125" style="128" customWidth="1"/>
    <col min="5" max="5" width="18" style="128" customWidth="1"/>
    <col min="6" max="6" width="18.42578125" customWidth="1"/>
    <col min="9" max="9" width="19.28515625" bestFit="1" customWidth="1"/>
  </cols>
  <sheetData>
    <row r="1" spans="1:9" x14ac:dyDescent="0.25">
      <c r="A1" s="179" t="s">
        <v>52</v>
      </c>
      <c r="B1" s="179"/>
      <c r="C1" s="179"/>
      <c r="D1" s="179"/>
      <c r="E1" s="179"/>
      <c r="F1" s="34"/>
      <c r="G1" s="21"/>
      <c r="H1" s="21"/>
      <c r="I1" s="21"/>
    </row>
    <row r="2" spans="1:9" x14ac:dyDescent="0.25">
      <c r="A2" s="35"/>
      <c r="B2" s="153"/>
      <c r="C2" s="153"/>
      <c r="D2" s="153"/>
      <c r="E2" s="165"/>
      <c r="F2" s="34"/>
      <c r="G2" s="21"/>
      <c r="H2" s="21"/>
      <c r="I2" s="21"/>
    </row>
    <row r="3" spans="1:9" x14ac:dyDescent="0.25">
      <c r="A3" s="35"/>
      <c r="B3" s="153"/>
      <c r="C3" s="156" t="s">
        <v>53</v>
      </c>
      <c r="D3" s="156" t="s">
        <v>54</v>
      </c>
      <c r="E3" s="156" t="s">
        <v>55</v>
      </c>
      <c r="F3" s="34"/>
      <c r="G3" s="21"/>
      <c r="H3" s="36" t="s">
        <v>38</v>
      </c>
      <c r="I3" s="120" t="s">
        <v>96</v>
      </c>
    </row>
    <row r="4" spans="1:9" x14ac:dyDescent="0.25">
      <c r="A4" s="180" t="s">
        <v>56</v>
      </c>
      <c r="B4" s="154" t="s">
        <v>57</v>
      </c>
      <c r="C4" s="157">
        <v>500000</v>
      </c>
      <c r="D4" s="160">
        <v>1</v>
      </c>
      <c r="E4" s="163">
        <f>+D4*C4</f>
        <v>500000</v>
      </c>
      <c r="F4" s="34"/>
      <c r="G4" s="21"/>
      <c r="H4" s="37">
        <f>400000*D4</f>
        <v>400000</v>
      </c>
      <c r="I4" s="37">
        <f>+E4-H4</f>
        <v>100000</v>
      </c>
    </row>
    <row r="5" spans="1:9" x14ac:dyDescent="0.25">
      <c r="A5" s="181"/>
      <c r="B5" s="154" t="s">
        <v>95</v>
      </c>
      <c r="C5" s="157">
        <v>500000</v>
      </c>
      <c r="D5" s="160">
        <v>1</v>
      </c>
      <c r="E5" s="163">
        <f t="shared" ref="E5:E6" si="0">+D5*C5</f>
        <v>500000</v>
      </c>
      <c r="F5" s="34"/>
      <c r="G5" s="21"/>
      <c r="H5" s="37">
        <f t="shared" ref="H5:H6" si="1">400000*D5</f>
        <v>400000</v>
      </c>
      <c r="I5" s="37">
        <f t="shared" ref="I5:I6" si="2">+E5-H5</f>
        <v>100000</v>
      </c>
    </row>
    <row r="6" spans="1:9" ht="47.25" customHeight="1" x14ac:dyDescent="0.25">
      <c r="A6" s="182"/>
      <c r="B6" s="154" t="s">
        <v>94</v>
      </c>
      <c r="C6" s="157">
        <v>500000</v>
      </c>
      <c r="D6" s="160">
        <v>14</v>
      </c>
      <c r="E6" s="163">
        <f t="shared" si="0"/>
        <v>7000000</v>
      </c>
      <c r="F6" s="34"/>
      <c r="G6" s="21"/>
      <c r="H6" s="37">
        <f t="shared" si="1"/>
        <v>5600000</v>
      </c>
      <c r="I6" s="37">
        <f t="shared" si="2"/>
        <v>1400000</v>
      </c>
    </row>
    <row r="7" spans="1:9" x14ac:dyDescent="0.25">
      <c r="A7" s="38"/>
      <c r="B7" s="155"/>
      <c r="C7" s="155"/>
      <c r="D7" s="156" t="s">
        <v>58</v>
      </c>
      <c r="E7" s="163">
        <f>SUM(E4:E6)</f>
        <v>8000000</v>
      </c>
      <c r="F7" s="34"/>
      <c r="G7" s="21"/>
      <c r="H7" s="40">
        <f>SUM(H4:H6)</f>
        <v>6400000</v>
      </c>
      <c r="I7" s="40">
        <f>SUM(I4:I6)</f>
        <v>1600000</v>
      </c>
    </row>
    <row r="8" spans="1:9" x14ac:dyDescent="0.25">
      <c r="A8" s="41"/>
      <c r="B8" s="155"/>
      <c r="C8" s="155"/>
      <c r="D8" s="155"/>
      <c r="E8" s="155"/>
      <c r="F8" s="41"/>
      <c r="G8" s="21"/>
      <c r="H8" s="21"/>
      <c r="I8" s="21"/>
    </row>
    <row r="9" spans="1:9" ht="27" x14ac:dyDescent="0.25">
      <c r="A9" s="41"/>
      <c r="B9" s="156" t="s">
        <v>53</v>
      </c>
      <c r="C9" s="156" t="s">
        <v>54</v>
      </c>
      <c r="D9" s="156" t="s">
        <v>55</v>
      </c>
      <c r="E9" s="153"/>
      <c r="F9" s="34"/>
      <c r="G9" s="21"/>
      <c r="H9" s="36" t="s">
        <v>38</v>
      </c>
      <c r="I9" s="120" t="s">
        <v>96</v>
      </c>
    </row>
    <row r="10" spans="1:9" ht="28.5" x14ac:dyDescent="0.25">
      <c r="A10" s="42" t="s">
        <v>59</v>
      </c>
      <c r="B10" s="157">
        <v>5000000</v>
      </c>
      <c r="C10" s="160">
        <v>1</v>
      </c>
      <c r="D10" s="163">
        <v>14000000</v>
      </c>
      <c r="E10" s="153"/>
      <c r="F10" s="34"/>
      <c r="G10" s="21"/>
      <c r="H10" s="37">
        <v>11000000</v>
      </c>
      <c r="I10" s="37">
        <f>+D10-H10</f>
        <v>3000000</v>
      </c>
    </row>
    <row r="11" spans="1:9" x14ac:dyDescent="0.25">
      <c r="A11" s="41"/>
      <c r="B11" s="158"/>
      <c r="C11" s="155"/>
      <c r="D11" s="155"/>
      <c r="E11" s="155"/>
      <c r="F11" s="41"/>
      <c r="G11" s="21"/>
      <c r="H11" s="21"/>
      <c r="I11" s="21"/>
    </row>
    <row r="12" spans="1:9" x14ac:dyDescent="0.25">
      <c r="A12" s="41"/>
      <c r="B12" s="158"/>
      <c r="C12" s="161" t="s">
        <v>34</v>
      </c>
      <c r="D12" s="156" t="s">
        <v>60</v>
      </c>
      <c r="E12" s="156" t="s">
        <v>61</v>
      </c>
      <c r="F12" s="26" t="s">
        <v>55</v>
      </c>
      <c r="G12" s="21"/>
      <c r="H12" s="36" t="s">
        <v>38</v>
      </c>
      <c r="I12" s="120" t="s">
        <v>96</v>
      </c>
    </row>
    <row r="13" spans="1:9" ht="17.25" customHeight="1" x14ac:dyDescent="0.25">
      <c r="A13" s="180" t="s">
        <v>62</v>
      </c>
      <c r="B13" s="154" t="s">
        <v>57</v>
      </c>
      <c r="C13" s="162">
        <v>1200</v>
      </c>
      <c r="D13" s="164">
        <v>7</v>
      </c>
      <c r="E13" s="164">
        <v>150</v>
      </c>
      <c r="F13" s="43">
        <f>+C13*D13*E13</f>
        <v>1260000</v>
      </c>
      <c r="G13" s="21"/>
      <c r="H13" s="37">
        <f>200*E13*D13</f>
        <v>210000</v>
      </c>
      <c r="I13" s="37">
        <f>+F13-H13</f>
        <v>1050000</v>
      </c>
    </row>
    <row r="14" spans="1:9" ht="21" customHeight="1" x14ac:dyDescent="0.25">
      <c r="A14" s="181"/>
      <c r="B14" s="154" t="s">
        <v>94</v>
      </c>
      <c r="C14" s="162">
        <v>1200</v>
      </c>
      <c r="D14" s="164">
        <v>28</v>
      </c>
      <c r="E14" s="164">
        <v>150</v>
      </c>
      <c r="F14" s="43">
        <f t="shared" ref="F14:F15" si="3">+C14*D14*E14</f>
        <v>5040000</v>
      </c>
      <c r="G14" s="21"/>
      <c r="H14" s="37">
        <f t="shared" ref="H14:H15" si="4">200*E14*D14</f>
        <v>840000</v>
      </c>
      <c r="I14" s="37">
        <f t="shared" ref="I14:I15" si="5">+F14-H14</f>
        <v>4200000</v>
      </c>
    </row>
    <row r="15" spans="1:9" ht="18" customHeight="1" x14ac:dyDescent="0.25">
      <c r="A15" s="182"/>
      <c r="B15" s="154" t="s">
        <v>95</v>
      </c>
      <c r="C15" s="162">
        <v>1200</v>
      </c>
      <c r="D15" s="164">
        <v>7</v>
      </c>
      <c r="E15" s="164">
        <v>150</v>
      </c>
      <c r="F15" s="43">
        <f t="shared" si="3"/>
        <v>1260000</v>
      </c>
      <c r="G15" s="21"/>
      <c r="H15" s="37">
        <f t="shared" si="4"/>
        <v>210000</v>
      </c>
      <c r="I15" s="37">
        <f t="shared" si="5"/>
        <v>1050000</v>
      </c>
    </row>
    <row r="16" spans="1:9" x14ac:dyDescent="0.25">
      <c r="A16" s="38"/>
      <c r="B16" s="159"/>
      <c r="C16" s="155"/>
      <c r="D16" s="159"/>
      <c r="E16" s="156" t="s">
        <v>58</v>
      </c>
      <c r="F16" s="43">
        <f>SUM(F13:F15)</f>
        <v>7560000</v>
      </c>
      <c r="G16" s="21"/>
      <c r="H16" s="40">
        <f>SUM(H13:H15)</f>
        <v>1260000</v>
      </c>
      <c r="I16" s="40">
        <f>SUM(I13:I15)</f>
        <v>6300000</v>
      </c>
    </row>
    <row r="17" spans="1:9" x14ac:dyDescent="0.25">
      <c r="A17" s="41"/>
      <c r="B17" s="155"/>
      <c r="C17" s="155"/>
      <c r="D17" s="155"/>
      <c r="E17" s="159"/>
      <c r="F17" s="39"/>
      <c r="G17" s="21"/>
      <c r="H17" s="21"/>
      <c r="I17" s="21"/>
    </row>
    <row r="18" spans="1:9" x14ac:dyDescent="0.25">
      <c r="A18" s="41"/>
      <c r="B18" s="155"/>
      <c r="C18" s="156" t="s">
        <v>34</v>
      </c>
      <c r="D18" s="156" t="s">
        <v>61</v>
      </c>
      <c r="E18" s="156" t="s">
        <v>55</v>
      </c>
      <c r="F18" s="39"/>
      <c r="G18" s="21"/>
      <c r="H18" s="36" t="s">
        <v>38</v>
      </c>
      <c r="I18" s="120" t="s">
        <v>96</v>
      </c>
    </row>
    <row r="19" spans="1:9" x14ac:dyDescent="0.25">
      <c r="A19" s="183" t="s">
        <v>93</v>
      </c>
      <c r="B19" s="184"/>
      <c r="C19" s="162">
        <v>90000</v>
      </c>
      <c r="D19" s="164">
        <v>150</v>
      </c>
      <c r="E19" s="163">
        <f>C19*D19</f>
        <v>13500000</v>
      </c>
      <c r="F19" s="39"/>
      <c r="G19" s="21"/>
      <c r="H19" s="44">
        <f>10000*D19</f>
        <v>1500000</v>
      </c>
      <c r="I19" s="44">
        <f>+E19-H19</f>
        <v>12000000</v>
      </c>
    </row>
  </sheetData>
  <mergeCells count="4">
    <mergeCell ref="A1:E1"/>
    <mergeCell ref="A4:A6"/>
    <mergeCell ref="A13:A15"/>
    <mergeCell ref="A19:B19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showGridLines="0" topLeftCell="A2" workbookViewId="0">
      <selection activeCell="A8" sqref="A8:XFD8"/>
    </sheetView>
  </sheetViews>
  <sheetFormatPr baseColWidth="10" defaultRowHeight="15" x14ac:dyDescent="0.25"/>
  <cols>
    <col min="1" max="1" width="26.140625" customWidth="1"/>
    <col min="4" max="6" width="10.85546875" style="128"/>
    <col min="7" max="7" width="11.42578125" style="128" customWidth="1"/>
    <col min="8" max="8" width="16.85546875" style="128" bestFit="1" customWidth="1"/>
  </cols>
  <sheetData>
    <row r="1" spans="1:8" x14ac:dyDescent="0.25">
      <c r="A1" s="185" t="s">
        <v>63</v>
      </c>
      <c r="B1" s="185"/>
      <c r="C1" s="185"/>
      <c r="D1" s="185"/>
      <c r="E1" s="185"/>
      <c r="F1" s="117"/>
      <c r="G1" s="117"/>
      <c r="H1" s="117"/>
    </row>
    <row r="2" spans="1:8" x14ac:dyDescent="0.25">
      <c r="A2" s="46"/>
      <c r="B2" s="47"/>
      <c r="C2" s="46"/>
      <c r="D2" s="118"/>
      <c r="E2" s="118"/>
      <c r="F2" s="117"/>
      <c r="G2" s="117"/>
      <c r="H2" s="117"/>
    </row>
    <row r="3" spans="1:8" x14ac:dyDescent="0.25">
      <c r="A3" s="48"/>
      <c r="B3" s="4" t="s">
        <v>33</v>
      </c>
      <c r="C3" s="5" t="s">
        <v>34</v>
      </c>
      <c r="D3" s="119" t="s">
        <v>64</v>
      </c>
      <c r="E3" s="119" t="s">
        <v>37</v>
      </c>
      <c r="F3" s="117"/>
      <c r="G3" s="120" t="s">
        <v>38</v>
      </c>
      <c r="H3" s="120" t="s">
        <v>96</v>
      </c>
    </row>
    <row r="4" spans="1:8" ht="33" customHeight="1" x14ac:dyDescent="0.25">
      <c r="A4" s="110" t="s">
        <v>88</v>
      </c>
      <c r="B4" s="111">
        <v>1</v>
      </c>
      <c r="C4" s="112">
        <v>28500</v>
      </c>
      <c r="D4" s="121">
        <f>7*4</f>
        <v>28</v>
      </c>
      <c r="E4" s="122">
        <f>+B4*C4*D4</f>
        <v>798000</v>
      </c>
      <c r="F4" s="117"/>
      <c r="G4" s="123">
        <v>0</v>
      </c>
      <c r="H4" s="123">
        <f>+E4-G4</f>
        <v>798000</v>
      </c>
    </row>
    <row r="5" spans="1:8" ht="54" customHeight="1" x14ac:dyDescent="0.25">
      <c r="A5" s="113" t="s">
        <v>89</v>
      </c>
      <c r="B5" s="114">
        <v>1</v>
      </c>
      <c r="C5" s="112">
        <v>28500</v>
      </c>
      <c r="D5" s="124">
        <f>+D4</f>
        <v>28</v>
      </c>
      <c r="E5" s="122">
        <f t="shared" ref="E5:E7" si="0">+B5*C5*D5</f>
        <v>798000</v>
      </c>
      <c r="F5" s="117"/>
      <c r="G5" s="123">
        <v>0</v>
      </c>
      <c r="H5" s="123">
        <f t="shared" ref="H5:H7" si="1">+E5-G5</f>
        <v>798000</v>
      </c>
    </row>
    <row r="6" spans="1:8" ht="55.5" customHeight="1" x14ac:dyDescent="0.25">
      <c r="A6" s="113" t="s">
        <v>90</v>
      </c>
      <c r="B6" s="114">
        <v>1</v>
      </c>
      <c r="C6" s="112">
        <v>28500</v>
      </c>
      <c r="D6" s="124">
        <f t="shared" ref="D6:D7" si="2">+D5</f>
        <v>28</v>
      </c>
      <c r="E6" s="122">
        <f t="shared" si="0"/>
        <v>798000</v>
      </c>
      <c r="F6" s="117"/>
      <c r="G6" s="123">
        <v>0</v>
      </c>
      <c r="H6" s="123">
        <f t="shared" si="1"/>
        <v>798000</v>
      </c>
    </row>
    <row r="7" spans="1:8" ht="41.25" customHeight="1" x14ac:dyDescent="0.25">
      <c r="A7" s="113" t="s">
        <v>91</v>
      </c>
      <c r="B7" s="114">
        <v>1</v>
      </c>
      <c r="C7" s="112">
        <v>28500</v>
      </c>
      <c r="D7" s="124">
        <f t="shared" si="2"/>
        <v>28</v>
      </c>
      <c r="E7" s="122">
        <f t="shared" si="0"/>
        <v>798000</v>
      </c>
      <c r="F7" s="117"/>
      <c r="G7" s="123">
        <v>0</v>
      </c>
      <c r="H7" s="123">
        <f t="shared" si="1"/>
        <v>798000</v>
      </c>
    </row>
    <row r="8" spans="1:8" x14ac:dyDescent="0.25">
      <c r="A8" s="46"/>
      <c r="B8" s="47"/>
      <c r="C8" s="49"/>
      <c r="D8" s="125">
        <v>2407</v>
      </c>
      <c r="E8" s="126">
        <f>SUM(E4:E7)</f>
        <v>3192000</v>
      </c>
      <c r="F8" s="117"/>
      <c r="G8" s="127">
        <f>SUM(G4:G7)</f>
        <v>0</v>
      </c>
      <c r="H8" s="127">
        <f>SUM(H4:H7)</f>
        <v>3192000</v>
      </c>
    </row>
    <row r="9" spans="1:8" x14ac:dyDescent="0.25">
      <c r="G9" s="129"/>
    </row>
  </sheetData>
  <mergeCells count="1">
    <mergeCell ref="A1:E1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"/>
  <sheetViews>
    <sheetView showGridLines="0" workbookViewId="0">
      <selection activeCell="E20" sqref="E20"/>
    </sheetView>
  </sheetViews>
  <sheetFormatPr baseColWidth="10" defaultRowHeight="15" x14ac:dyDescent="0.25"/>
  <cols>
    <col min="1" max="1" width="37.7109375" customWidth="1"/>
    <col min="2" max="2" width="13" bestFit="1" customWidth="1"/>
    <col min="3" max="3" width="11.42578125" bestFit="1" customWidth="1"/>
    <col min="4" max="4" width="2.28515625" customWidth="1"/>
    <col min="5" max="5" width="14.140625" bestFit="1" customWidth="1"/>
    <col min="6" max="7" width="11.42578125" bestFit="1" customWidth="1"/>
    <col min="8" max="8" width="3.7109375" customWidth="1"/>
    <col min="9" max="9" width="12.42578125" bestFit="1" customWidth="1"/>
    <col min="10" max="11" width="11.42578125" bestFit="1" customWidth="1"/>
    <col min="13" max="13" width="10.85546875" style="170"/>
    <col min="14" max="14" width="31.28515625" customWidth="1"/>
  </cols>
  <sheetData>
    <row r="1" spans="1:14" x14ac:dyDescent="0.25">
      <c r="A1" s="45"/>
      <c r="B1" s="45"/>
      <c r="C1" s="45"/>
      <c r="D1" s="45"/>
      <c r="E1" s="45"/>
      <c r="F1" s="45"/>
      <c r="G1" s="45"/>
      <c r="H1" s="45"/>
      <c r="I1" s="50"/>
      <c r="J1" s="45"/>
      <c r="K1" s="45"/>
    </row>
    <row r="2" spans="1:14" x14ac:dyDescent="0.25">
      <c r="A2" s="186" t="s">
        <v>98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</row>
    <row r="3" spans="1:14" x14ac:dyDescent="0.25">
      <c r="A3" s="187" t="s">
        <v>65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4" spans="1:14" x14ac:dyDescent="0.25">
      <c r="A4" s="51"/>
      <c r="B4" s="51"/>
      <c r="C4" s="52"/>
      <c r="D4" s="52"/>
      <c r="E4" s="52"/>
      <c r="F4" s="52"/>
      <c r="G4" s="52"/>
      <c r="H4" s="52"/>
      <c r="I4" s="53"/>
      <c r="J4" s="52"/>
      <c r="K4" s="52"/>
      <c r="M4" s="170">
        <v>7</v>
      </c>
      <c r="N4" t="s">
        <v>36</v>
      </c>
    </row>
    <row r="5" spans="1:14" ht="38.25" x14ac:dyDescent="0.25">
      <c r="A5" s="54" t="s">
        <v>66</v>
      </c>
      <c r="B5" s="55" t="s">
        <v>67</v>
      </c>
      <c r="C5" s="55" t="s">
        <v>68</v>
      </c>
      <c r="D5" s="56"/>
      <c r="E5" s="130" t="s">
        <v>97</v>
      </c>
      <c r="F5" s="55" t="s">
        <v>69</v>
      </c>
      <c r="G5" s="55" t="s">
        <v>70</v>
      </c>
      <c r="H5" s="56"/>
      <c r="I5" s="57" t="s">
        <v>71</v>
      </c>
      <c r="J5" s="58" t="s">
        <v>69</v>
      </c>
      <c r="K5" s="55" t="s">
        <v>70</v>
      </c>
      <c r="M5" s="170">
        <v>150</v>
      </c>
      <c r="N5" t="s">
        <v>94</v>
      </c>
    </row>
    <row r="6" spans="1:14" ht="18" customHeight="1" x14ac:dyDescent="0.25">
      <c r="A6" s="59" t="s">
        <v>72</v>
      </c>
      <c r="B6" s="45"/>
      <c r="C6" s="45"/>
      <c r="D6" s="45"/>
      <c r="E6" s="45"/>
      <c r="F6" s="45"/>
      <c r="G6" s="45"/>
      <c r="H6" s="51"/>
      <c r="I6" s="50"/>
      <c r="J6" s="45"/>
      <c r="K6" s="45"/>
    </row>
    <row r="7" spans="1:14" ht="27.75" customHeight="1" x14ac:dyDescent="0.25">
      <c r="A7" s="60" t="s">
        <v>73</v>
      </c>
      <c r="B7" s="61">
        <f>+ejecución!E7</f>
        <v>8000000</v>
      </c>
      <c r="C7" s="62">
        <v>7.6545062078045345E-2</v>
      </c>
      <c r="D7" s="63"/>
      <c r="E7" s="64">
        <f>+ejecución!I7</f>
        <v>1600000</v>
      </c>
      <c r="F7" s="65">
        <v>1.5309012415609068E-2</v>
      </c>
      <c r="G7" s="65">
        <v>0.2</v>
      </c>
      <c r="H7" s="66"/>
      <c r="I7" s="11">
        <f>+ejecución!H7</f>
        <v>6400000</v>
      </c>
      <c r="J7" s="62">
        <v>6.1236049662436273E-2</v>
      </c>
      <c r="K7" s="62">
        <v>0.8</v>
      </c>
      <c r="M7" s="170">
        <f>+E7/M5</f>
        <v>10666.666666666666</v>
      </c>
      <c r="N7" t="s">
        <v>111</v>
      </c>
    </row>
    <row r="8" spans="1:14" x14ac:dyDescent="0.25">
      <c r="A8" s="67" t="s">
        <v>74</v>
      </c>
      <c r="B8" s="45"/>
      <c r="C8" s="68"/>
      <c r="D8" s="68"/>
      <c r="E8" s="69"/>
      <c r="F8" s="70"/>
      <c r="G8" s="70"/>
      <c r="H8" s="51"/>
      <c r="I8" s="50"/>
      <c r="J8" s="71"/>
      <c r="K8" s="71"/>
      <c r="M8" s="170">
        <f>+E7/7</f>
        <v>228571.42857142858</v>
      </c>
      <c r="N8" t="s">
        <v>118</v>
      </c>
    </row>
    <row r="9" spans="1:14" ht="25.5" x14ac:dyDescent="0.25">
      <c r="A9" s="72" t="s">
        <v>75</v>
      </c>
      <c r="B9" s="61">
        <f>+ejecución!F16</f>
        <v>7560000</v>
      </c>
      <c r="C9" s="62">
        <v>0.46294453544801822</v>
      </c>
      <c r="D9" s="63"/>
      <c r="E9" s="64">
        <f>+C37+ejecución!I16</f>
        <v>6300000</v>
      </c>
      <c r="F9" s="65">
        <v>0.34720840158601368</v>
      </c>
      <c r="G9" s="65">
        <v>0.75</v>
      </c>
      <c r="H9" s="66"/>
      <c r="I9" s="11">
        <f>+ejecución!H16</f>
        <v>1260000</v>
      </c>
      <c r="J9" s="62">
        <v>0.11573613386200456</v>
      </c>
      <c r="K9" s="62">
        <v>0.25</v>
      </c>
      <c r="M9" s="170">
        <f>+E9/M5</f>
        <v>42000</v>
      </c>
      <c r="N9" t="s">
        <v>107</v>
      </c>
    </row>
    <row r="10" spans="1:14" x14ac:dyDescent="0.25">
      <c r="A10" s="67" t="s">
        <v>76</v>
      </c>
      <c r="B10" s="45"/>
      <c r="C10" s="68"/>
      <c r="D10" s="68"/>
      <c r="E10" s="69"/>
      <c r="F10" s="70"/>
      <c r="G10" s="70"/>
      <c r="H10" s="51"/>
      <c r="I10" s="50"/>
      <c r="J10" s="71"/>
      <c r="K10" s="71"/>
    </row>
    <row r="11" spans="1:14" ht="25.5" x14ac:dyDescent="0.25">
      <c r="A11" s="72" t="s">
        <v>77</v>
      </c>
      <c r="B11" s="61">
        <f>+ejecución!D10</f>
        <v>14000000</v>
      </c>
      <c r="C11" s="62">
        <v>4.2865234763705393E-2</v>
      </c>
      <c r="D11" s="63"/>
      <c r="E11" s="64">
        <f>+ejecución!I10</f>
        <v>3000000</v>
      </c>
      <c r="F11" s="65">
        <v>0</v>
      </c>
      <c r="G11" s="65">
        <v>0</v>
      </c>
      <c r="H11" s="66"/>
      <c r="I11" s="11">
        <f>+ejecución!H10</f>
        <v>11000000</v>
      </c>
      <c r="J11" s="62">
        <v>4.2865234763705393E-2</v>
      </c>
      <c r="K11" s="62">
        <v>1</v>
      </c>
    </row>
    <row r="12" spans="1:14" x14ac:dyDescent="0.25">
      <c r="A12" s="67" t="s">
        <v>78</v>
      </c>
      <c r="B12" s="45"/>
      <c r="C12" s="68"/>
      <c r="D12" s="68"/>
      <c r="E12" s="69"/>
      <c r="F12" s="70"/>
      <c r="G12" s="70"/>
      <c r="H12" s="51"/>
      <c r="I12" s="50"/>
      <c r="J12" s="71"/>
      <c r="K12" s="71"/>
    </row>
    <row r="13" spans="1:14" x14ac:dyDescent="0.25">
      <c r="A13" s="72" t="s">
        <v>79</v>
      </c>
      <c r="B13" s="61">
        <f>+ejecución!E19</f>
        <v>13500000</v>
      </c>
      <c r="C13" s="62">
        <v>3.6741629797461768E-2</v>
      </c>
      <c r="D13" s="63"/>
      <c r="E13" s="64">
        <f>+ejecución!I19</f>
        <v>12000000</v>
      </c>
      <c r="F13" s="65">
        <v>3.3679827314339952E-2</v>
      </c>
      <c r="G13" s="65">
        <v>0.7857142857142857</v>
      </c>
      <c r="H13" s="66"/>
      <c r="I13" s="11">
        <f>+ejecución!H19</f>
        <v>1500000</v>
      </c>
      <c r="J13" s="62">
        <v>3.061802483121814E-3</v>
      </c>
      <c r="K13" s="62">
        <v>7.1428571428571425E-2</v>
      </c>
    </row>
    <row r="14" spans="1:14" x14ac:dyDescent="0.25">
      <c r="A14" s="67" t="s">
        <v>80</v>
      </c>
      <c r="B14" s="45"/>
      <c r="C14" s="68"/>
      <c r="D14" s="68"/>
      <c r="E14" s="69"/>
      <c r="F14" s="70"/>
      <c r="G14" s="73"/>
      <c r="H14" s="51"/>
      <c r="I14" s="50"/>
      <c r="J14" s="71"/>
      <c r="K14" s="71"/>
    </row>
    <row r="15" spans="1:14" ht="25.5" x14ac:dyDescent="0.25">
      <c r="A15" s="72" t="s">
        <v>81</v>
      </c>
      <c r="B15" s="61">
        <f>93000000*6.5%</f>
        <v>6045000</v>
      </c>
      <c r="C15" s="62">
        <v>6.480304955527319E-2</v>
      </c>
      <c r="D15" s="63"/>
      <c r="E15" s="64">
        <f>+B15*50%</f>
        <v>3022500</v>
      </c>
      <c r="F15" s="65">
        <v>4.4549226129422394E-2</v>
      </c>
      <c r="G15" s="65">
        <v>0.68745570517363574</v>
      </c>
      <c r="H15" s="66"/>
      <c r="I15" s="11">
        <f>+B15-E15</f>
        <v>3022500</v>
      </c>
      <c r="J15" s="62">
        <v>2.02538234258508E-2</v>
      </c>
      <c r="K15" s="62">
        <v>0.31254429482636426</v>
      </c>
    </row>
    <row r="16" spans="1:14" x14ac:dyDescent="0.25">
      <c r="A16" s="67" t="s">
        <v>82</v>
      </c>
      <c r="B16" s="45"/>
      <c r="C16" s="68"/>
      <c r="D16" s="68"/>
      <c r="E16" s="69"/>
      <c r="F16" s="70"/>
      <c r="G16" s="70"/>
      <c r="H16" s="51"/>
      <c r="I16" s="50"/>
      <c r="J16" s="71"/>
      <c r="K16" s="71"/>
    </row>
    <row r="17" spans="1:14" ht="38.25" x14ac:dyDescent="0.25">
      <c r="A17" s="72" t="s">
        <v>83</v>
      </c>
      <c r="B17" s="61">
        <f>+personal!F11</f>
        <v>46200000</v>
      </c>
      <c r="C17" s="62">
        <v>0.29638248036619158</v>
      </c>
      <c r="D17" s="63"/>
      <c r="E17" s="64">
        <f>+personal!I11</f>
        <v>34300000</v>
      </c>
      <c r="F17" s="65">
        <v>0.18064634650418701</v>
      </c>
      <c r="G17" s="65">
        <v>0.60950413223140498</v>
      </c>
      <c r="H17" s="66"/>
      <c r="I17" s="11">
        <f>+personal!H11</f>
        <v>11900000</v>
      </c>
      <c r="J17" s="62">
        <v>0.11573613386200456</v>
      </c>
      <c r="K17" s="62">
        <v>0.39049586776859502</v>
      </c>
      <c r="M17" s="170">
        <f>+E17/M5</f>
        <v>228666.66666666666</v>
      </c>
      <c r="N17" t="s">
        <v>108</v>
      </c>
    </row>
    <row r="18" spans="1:14" x14ac:dyDescent="0.25">
      <c r="A18" s="67" t="s">
        <v>84</v>
      </c>
      <c r="B18" s="45"/>
      <c r="C18" s="68"/>
      <c r="D18" s="68"/>
      <c r="E18" s="69"/>
      <c r="F18" s="70"/>
      <c r="G18" s="70"/>
      <c r="H18" s="51"/>
      <c r="I18" s="50"/>
      <c r="J18" s="71"/>
      <c r="K18" s="71"/>
    </row>
    <row r="19" spans="1:14" ht="38.25" x14ac:dyDescent="0.25">
      <c r="A19" s="72" t="s">
        <v>85</v>
      </c>
      <c r="B19" s="11">
        <f>+'viaticos y transporte'!E8</f>
        <v>3192000</v>
      </c>
      <c r="C19" s="62">
        <v>1.9718007991304482E-2</v>
      </c>
      <c r="D19" s="63"/>
      <c r="E19" s="64">
        <f>+'viaticos y transporte'!H8</f>
        <v>3192000</v>
      </c>
      <c r="F19" s="65">
        <v>0</v>
      </c>
      <c r="G19" s="65">
        <v>0</v>
      </c>
      <c r="H19" s="66"/>
      <c r="I19" s="11">
        <f>+'viaticos y transporte'!G8</f>
        <v>0</v>
      </c>
      <c r="J19" s="62">
        <v>1.9718007991304482E-2</v>
      </c>
      <c r="K19" s="62">
        <v>1</v>
      </c>
    </row>
    <row r="20" spans="1:14" x14ac:dyDescent="0.25">
      <c r="A20" s="45"/>
      <c r="B20" s="74">
        <f>SUM(B7:B19)</f>
        <v>98497000</v>
      </c>
      <c r="C20" s="75">
        <v>1</v>
      </c>
      <c r="D20" s="68"/>
      <c r="E20" s="169">
        <f>SUM(E7:E19)</f>
        <v>63414500</v>
      </c>
      <c r="F20" s="65">
        <v>0.62139281394957213</v>
      </c>
      <c r="G20" s="45"/>
      <c r="H20" s="45"/>
      <c r="I20" s="12">
        <f>SUM(I7:I19)</f>
        <v>35082500</v>
      </c>
      <c r="J20" s="65">
        <v>0.37860718605042787</v>
      </c>
      <c r="K20" s="45"/>
      <c r="M20" s="170">
        <f>+E20/M5</f>
        <v>422763.33333333331</v>
      </c>
      <c r="N20" t="s">
        <v>109</v>
      </c>
    </row>
    <row r="21" spans="1:14" x14ac:dyDescent="0.25">
      <c r="A21" s="45"/>
      <c r="B21" s="45"/>
      <c r="C21" s="45"/>
      <c r="D21" s="45"/>
      <c r="E21" s="45"/>
      <c r="F21" s="45"/>
      <c r="G21" s="45"/>
      <c r="H21" s="45"/>
      <c r="I21" s="50"/>
      <c r="J21" s="45"/>
      <c r="K21" s="45"/>
      <c r="M21" s="170">
        <f>+M20/7</f>
        <v>60394.761904761901</v>
      </c>
      <c r="N21" t="s">
        <v>110</v>
      </c>
    </row>
    <row r="22" spans="1:14" x14ac:dyDescent="0.25">
      <c r="A22" s="187"/>
      <c r="B22" s="187"/>
      <c r="C22" s="187"/>
      <c r="D22" s="187"/>
      <c r="E22" s="187"/>
      <c r="F22" s="187"/>
      <c r="G22" s="187"/>
      <c r="H22" s="187"/>
      <c r="I22" s="187"/>
      <c r="J22" s="187"/>
      <c r="K22" s="187"/>
    </row>
    <row r="23" spans="1:14" x14ac:dyDescent="0.25">
      <c r="A23" s="45"/>
      <c r="B23" s="45"/>
      <c r="C23" s="45"/>
      <c r="D23" s="45"/>
      <c r="E23" s="45"/>
      <c r="F23" s="45"/>
      <c r="G23" s="45"/>
      <c r="H23" s="45"/>
      <c r="I23" s="50"/>
      <c r="J23" s="45"/>
      <c r="K23" s="45"/>
    </row>
    <row r="24" spans="1:14" x14ac:dyDescent="0.25">
      <c r="A24" s="45"/>
      <c r="B24" s="45"/>
      <c r="C24" s="45"/>
      <c r="D24" s="45"/>
      <c r="E24" s="45"/>
      <c r="F24" s="45"/>
      <c r="G24" s="45"/>
      <c r="H24" s="45"/>
      <c r="I24" s="50"/>
      <c r="J24" s="45"/>
      <c r="K24" s="45"/>
    </row>
    <row r="25" spans="1:14" x14ac:dyDescent="0.25">
      <c r="A25" s="72" t="s">
        <v>86</v>
      </c>
      <c r="B25" s="76">
        <f>+B20/ejecución!E14</f>
        <v>656646.66666666663</v>
      </c>
      <c r="C25" s="45"/>
      <c r="D25" s="45"/>
      <c r="E25" s="168"/>
      <c r="F25" s="45"/>
      <c r="G25" s="45"/>
      <c r="H25" s="45"/>
      <c r="I25" s="50"/>
      <c r="J25" s="45"/>
      <c r="K25" s="45"/>
    </row>
    <row r="26" spans="1:14" x14ac:dyDescent="0.25">
      <c r="A26" s="72" t="s">
        <v>87</v>
      </c>
      <c r="B26" s="76">
        <f>+B25/7</f>
        <v>93806.666666666657</v>
      </c>
      <c r="C26" s="45"/>
      <c r="D26" s="45"/>
      <c r="E26" s="168"/>
      <c r="F26" s="45"/>
      <c r="G26" s="45"/>
      <c r="H26" s="45"/>
      <c r="I26" s="50"/>
      <c r="J26" s="45"/>
      <c r="K26" s="45"/>
    </row>
  </sheetData>
  <mergeCells count="3">
    <mergeCell ref="A2:K2"/>
    <mergeCell ref="A3:K3"/>
    <mergeCell ref="A22:K22"/>
  </mergeCells>
  <pageMargins left="0.7" right="0.7" top="0.75" bottom="0.75" header="0.3" footer="0.3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showGridLines="0" topLeftCell="B1" workbookViewId="0">
      <selection activeCell="C25" sqref="C25"/>
    </sheetView>
  </sheetViews>
  <sheetFormatPr baseColWidth="10" defaultRowHeight="15" x14ac:dyDescent="0.25"/>
  <cols>
    <col min="1" max="1" width="9.5703125" style="2" customWidth="1"/>
    <col min="2" max="2" width="11" style="171" bestFit="1" customWidth="1"/>
    <col min="3" max="3" width="71.28515625" style="2" customWidth="1"/>
    <col min="4" max="16384" width="11.42578125" style="2"/>
  </cols>
  <sheetData>
    <row r="1" spans="1:4" x14ac:dyDescent="0.25">
      <c r="A1" s="2" t="s">
        <v>106</v>
      </c>
      <c r="B1" s="171">
        <v>3345</v>
      </c>
      <c r="C1" s="176">
        <v>43608</v>
      </c>
    </row>
    <row r="3" spans="1:4" x14ac:dyDescent="0.25">
      <c r="A3" s="188" t="s">
        <v>58</v>
      </c>
      <c r="B3" s="171">
        <f>+'costos y gastos'!E20</f>
        <v>63414500</v>
      </c>
      <c r="C3" s="2" t="s">
        <v>105</v>
      </c>
    </row>
    <row r="4" spans="1:4" x14ac:dyDescent="0.25">
      <c r="A4" s="188"/>
      <c r="B4" s="172">
        <f>+B3/B1</f>
        <v>18957.997010463379</v>
      </c>
      <c r="C4" s="2" t="s">
        <v>104</v>
      </c>
    </row>
    <row r="7" spans="1:4" x14ac:dyDescent="0.25">
      <c r="B7" s="173">
        <f>(1300000*7/B1)/150</f>
        <v>18.13652217239661</v>
      </c>
      <c r="C7" s="174" t="s">
        <v>100</v>
      </c>
    </row>
    <row r="8" spans="1:4" x14ac:dyDescent="0.25">
      <c r="B8" s="173">
        <f>1200000*7/'costos y gastos'!M5/B1</f>
        <v>16.741405082212257</v>
      </c>
      <c r="C8" s="174" t="s">
        <v>99</v>
      </c>
    </row>
    <row r="9" spans="1:4" x14ac:dyDescent="0.25">
      <c r="B9" s="173">
        <f>(3000000/B1/'costos y gastos'!M5)*2</f>
        <v>11.958146487294469</v>
      </c>
      <c r="C9" s="174" t="s">
        <v>121</v>
      </c>
    </row>
    <row r="10" spans="1:4" x14ac:dyDescent="0.25">
      <c r="B10" s="173">
        <f>50000/B1</f>
        <v>14.947683109118087</v>
      </c>
      <c r="C10" s="174" t="s">
        <v>101</v>
      </c>
    </row>
    <row r="11" spans="1:4" x14ac:dyDescent="0.25">
      <c r="B11" s="173">
        <f>65000/B1</f>
        <v>19.431988041853511</v>
      </c>
      <c r="C11" s="174" t="s">
        <v>102</v>
      </c>
    </row>
    <row r="12" spans="1:4" x14ac:dyDescent="0.25">
      <c r="B12" s="173">
        <f>1400000*7/'costos y gastos'!M5/B1</f>
        <v>19.531639262580967</v>
      </c>
      <c r="C12" s="174" t="s">
        <v>113</v>
      </c>
    </row>
    <row r="13" spans="1:4" x14ac:dyDescent="0.25">
      <c r="B13" s="173">
        <f>80000/B1</f>
        <v>23.916292974588938</v>
      </c>
      <c r="C13" s="174" t="s">
        <v>103</v>
      </c>
    </row>
    <row r="14" spans="1:4" x14ac:dyDescent="0.25">
      <c r="B14" s="173">
        <f>+(B18/12)*2</f>
        <v>21.06444112273709</v>
      </c>
      <c r="C14" s="175" t="s">
        <v>112</v>
      </c>
      <c r="D14" s="3"/>
    </row>
    <row r="16" spans="1:4" ht="30" x14ac:dyDescent="0.25">
      <c r="B16" s="173">
        <f>+'costos y gastos'!M8/B1</f>
        <v>68.332265641682682</v>
      </c>
      <c r="C16" s="175" t="s">
        <v>123</v>
      </c>
    </row>
    <row r="17" spans="2:3" x14ac:dyDescent="0.25">
      <c r="B17" s="173">
        <f>+((('costos y gastos'!E17/'costos y gastos'!M5)/B1)/ejecución!D14)*20</f>
        <v>48.829098156452417</v>
      </c>
      <c r="C17" s="174" t="s">
        <v>122</v>
      </c>
    </row>
    <row r="18" spans="2:3" x14ac:dyDescent="0.25">
      <c r="B18" s="173">
        <f>+B4/'costos y gastos'!M5</f>
        <v>126.38664673642253</v>
      </c>
      <c r="C18" s="175" t="s">
        <v>117</v>
      </c>
    </row>
    <row r="19" spans="2:3" x14ac:dyDescent="0.25">
      <c r="B19" s="173">
        <f>+'costos y gastos'!E7/'PAQUETES A PROMOVER EN GLOBAL'!B1</f>
        <v>478.32585949177877</v>
      </c>
      <c r="C19" s="174" t="s">
        <v>114</v>
      </c>
    </row>
    <row r="20" spans="2:3" x14ac:dyDescent="0.25">
      <c r="B20" s="173">
        <f>+('costos y gastos'!E9/'PAQUETES A PROMOVER EN GLOBAL'!B1)/3</f>
        <v>627.8026905829596</v>
      </c>
      <c r="C20" s="174" t="s">
        <v>120</v>
      </c>
    </row>
    <row r="21" spans="2:3" x14ac:dyDescent="0.25">
      <c r="B21" s="173">
        <f>+'costos y gastos'!E13/'PAQUETES A PROMOVER EN GLOBAL'!B1</f>
        <v>3587.4439461883408</v>
      </c>
      <c r="C21" s="175" t="s">
        <v>119</v>
      </c>
    </row>
    <row r="22" spans="2:3" x14ac:dyDescent="0.25">
      <c r="B22" s="173">
        <f>+B11*150</f>
        <v>2914.7982062780266</v>
      </c>
      <c r="C22" s="175" t="s">
        <v>115</v>
      </c>
    </row>
    <row r="23" spans="2:3" x14ac:dyDescent="0.25">
      <c r="B23" s="173">
        <f>+B10*150</f>
        <v>2242.1524663677128</v>
      </c>
      <c r="C23" s="175" t="s">
        <v>116</v>
      </c>
    </row>
  </sheetData>
  <mergeCells count="1">
    <mergeCell ref="A3:A4"/>
  </mergeCells>
  <pageMargins left="0.75" right="0.75" top="1" bottom="1" header="0.5" footer="0.5"/>
  <pageSetup paperSize="9"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resumen estadístico</vt:lpstr>
      <vt:lpstr>personal</vt:lpstr>
      <vt:lpstr>ejecución</vt:lpstr>
      <vt:lpstr>viaticos y transporte</vt:lpstr>
      <vt:lpstr>costos y gastos</vt:lpstr>
      <vt:lpstr>PAQUETES A PROMOVER EN GLOBAL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Practicante</dc:creator>
  <cp:lastModifiedBy>Practicante</cp:lastModifiedBy>
  <dcterms:created xsi:type="dcterms:W3CDTF">2019-05-15T14:13:48Z</dcterms:created>
  <dcterms:modified xsi:type="dcterms:W3CDTF">2019-05-28T20:01:02Z</dcterms:modified>
</cp:coreProperties>
</file>