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KINGSTON/Zala Dola/"/>
    </mc:Choice>
  </mc:AlternateContent>
  <bookViews>
    <workbookView xWindow="5280" yWindow="500" windowWidth="33120" windowHeight="20920"/>
  </bookViews>
  <sheets>
    <sheet name="Zala Dola" sheetId="21" r:id="rId1"/>
  </sheets>
  <definedNames>
    <definedName name="_xlnm.Print_Area" localSheetId="0">'Zala Dola'!$A$1:$L$96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1" l="1"/>
  <c r="J9" i="21"/>
  <c r="H32" i="21"/>
  <c r="H94" i="21"/>
  <c r="H93" i="21"/>
  <c r="H92" i="21"/>
  <c r="H91" i="21"/>
  <c r="H90" i="21"/>
  <c r="H88" i="21"/>
  <c r="H87" i="21"/>
  <c r="H86" i="21"/>
  <c r="H85" i="21"/>
  <c r="H84" i="21"/>
  <c r="H83" i="21"/>
  <c r="H82" i="21"/>
  <c r="H81" i="21"/>
  <c r="H80" i="21"/>
  <c r="H79" i="21"/>
  <c r="H78" i="21"/>
  <c r="H76" i="21"/>
  <c r="H75" i="21"/>
  <c r="H74" i="21"/>
  <c r="H73" i="21"/>
  <c r="H72" i="21"/>
  <c r="H70" i="21"/>
  <c r="H69" i="21"/>
  <c r="H68" i="21"/>
  <c r="H67" i="21"/>
  <c r="H66" i="21"/>
  <c r="H63" i="21"/>
  <c r="H62" i="21"/>
  <c r="H61" i="21"/>
  <c r="H60" i="21"/>
  <c r="H59" i="21"/>
  <c r="H58" i="21"/>
  <c r="H57" i="21"/>
  <c r="H56" i="21"/>
  <c r="H53" i="21"/>
  <c r="H52" i="21"/>
  <c r="H51" i="21"/>
  <c r="H50" i="21"/>
  <c r="H49" i="21"/>
  <c r="H48" i="21"/>
  <c r="H47" i="21"/>
  <c r="H45" i="21"/>
  <c r="H44" i="21"/>
  <c r="H43" i="21"/>
  <c r="H42" i="21"/>
  <c r="H41" i="21"/>
  <c r="H40" i="21"/>
  <c r="H39" i="21"/>
  <c r="H38" i="21"/>
  <c r="H36" i="21"/>
  <c r="H35" i="21"/>
  <c r="H34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G63" i="21"/>
  <c r="G93" i="21"/>
  <c r="F66" i="21"/>
  <c r="G66" i="21"/>
  <c r="F67" i="21"/>
  <c r="G67" i="21"/>
  <c r="F68" i="21"/>
  <c r="G68" i="21"/>
  <c r="F69" i="21"/>
  <c r="G69" i="21"/>
  <c r="G70" i="21"/>
  <c r="F72" i="21"/>
  <c r="G72" i="21"/>
  <c r="F73" i="21"/>
  <c r="G73" i="21"/>
  <c r="F74" i="21"/>
  <c r="G74" i="21"/>
  <c r="G75" i="21"/>
  <c r="G78" i="21"/>
  <c r="G79" i="21"/>
  <c r="G80" i="21"/>
  <c r="G81" i="21"/>
  <c r="G82" i="21"/>
  <c r="G85" i="21"/>
  <c r="G87" i="21"/>
  <c r="G88" i="21"/>
  <c r="G90" i="21"/>
  <c r="G91" i="21"/>
  <c r="G92" i="21"/>
  <c r="G60" i="21"/>
  <c r="G62" i="21"/>
  <c r="G47" i="21"/>
  <c r="G48" i="21"/>
  <c r="G50" i="21"/>
  <c r="G52" i="21"/>
  <c r="F38" i="21"/>
  <c r="G38" i="21"/>
  <c r="F39" i="21"/>
  <c r="G39" i="21"/>
  <c r="F40" i="21"/>
  <c r="G40" i="21"/>
  <c r="G41" i="21"/>
  <c r="G42" i="21"/>
  <c r="G43" i="21"/>
  <c r="G44" i="21"/>
  <c r="G45" i="21"/>
  <c r="G34" i="21"/>
  <c r="G35" i="21"/>
  <c r="G36" i="21"/>
  <c r="E8" i="21"/>
  <c r="G8" i="21"/>
  <c r="G9" i="21"/>
  <c r="G10" i="21"/>
  <c r="G11" i="21"/>
  <c r="G12" i="21"/>
  <c r="G13" i="21"/>
  <c r="E14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F29" i="21"/>
  <c r="G29" i="21"/>
  <c r="G30" i="21"/>
  <c r="G31" i="21"/>
  <c r="G32" i="21"/>
  <c r="G94" i="21"/>
  <c r="I93" i="21"/>
  <c r="G76" i="21"/>
  <c r="I53" i="21"/>
  <c r="G53" i="21"/>
  <c r="I32" i="21"/>
  <c r="I36" i="21"/>
  <c r="I62" i="21"/>
  <c r="I94" i="21"/>
  <c r="F70" i="21"/>
  <c r="I2" i="21"/>
  <c r="I4" i="21"/>
  <c r="I3" i="21"/>
</calcChain>
</file>

<file path=xl/sharedStrings.xml><?xml version="1.0" encoding="utf-8"?>
<sst xmlns="http://schemas.openxmlformats.org/spreadsheetml/2006/main" count="248" uniqueCount="179">
  <si>
    <t xml:space="preserve">No </t>
  </si>
  <si>
    <t>Unit</t>
  </si>
  <si>
    <t>Quantity</t>
  </si>
  <si>
    <t>Cement for different construction</t>
  </si>
  <si>
    <t>Reinforcement bar 6mm</t>
  </si>
  <si>
    <t>Kg</t>
  </si>
  <si>
    <t>Reinforcement bar 8mm</t>
  </si>
  <si>
    <t>pcs</t>
  </si>
  <si>
    <t>Reinforcement bar 10mm</t>
  </si>
  <si>
    <t>Chicken wire (1.80mx30m)</t>
  </si>
  <si>
    <t>Roll</t>
  </si>
  <si>
    <t xml:space="preserve">Pipe fittings </t>
  </si>
  <si>
    <t>Birr</t>
  </si>
  <si>
    <t>Sand</t>
  </si>
  <si>
    <t>M3</t>
  </si>
  <si>
    <t>Gravel</t>
  </si>
  <si>
    <t>Stone</t>
  </si>
  <si>
    <t>Anti-rust paints</t>
  </si>
  <si>
    <t>Black wire</t>
  </si>
  <si>
    <t>Nails different size (#6, #8, &amp; #10)</t>
  </si>
  <si>
    <t>Pack</t>
  </si>
  <si>
    <t>Timber (form work)</t>
  </si>
  <si>
    <t>m2</t>
  </si>
  <si>
    <t>Provision of maintenance tools</t>
  </si>
  <si>
    <t xml:space="preserve">Ls </t>
  </si>
  <si>
    <t>Water quality test</t>
  </si>
  <si>
    <t>1.2.1</t>
  </si>
  <si>
    <t>1.2.2</t>
  </si>
  <si>
    <t>1.3.1</t>
  </si>
  <si>
    <t>1.3.2</t>
  </si>
  <si>
    <t>Rental trucks for material transport</t>
  </si>
  <si>
    <t>1.4.1</t>
  </si>
  <si>
    <t>1.4.2</t>
  </si>
  <si>
    <t>1.4.3</t>
  </si>
  <si>
    <t>1.4.4</t>
  </si>
  <si>
    <t>GRAND TOTAL</t>
  </si>
  <si>
    <t>Total Budget of the Project</t>
  </si>
  <si>
    <t>HIDA Contribution</t>
  </si>
  <si>
    <t>Community Contribution</t>
  </si>
  <si>
    <t xml:space="preserve">Total 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</si>
  <si>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</si>
  <si>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</si>
  <si>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</si>
  <si>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</si>
  <si>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</si>
  <si>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</si>
  <si>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</si>
  <si>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</si>
  <si>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</si>
  <si>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</si>
  <si>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</si>
  <si>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</si>
  <si>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</si>
  <si>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</si>
  <si>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</si>
  <si>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</si>
  <si>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</si>
  <si>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</si>
  <si>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</si>
  <si>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</si>
  <si>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</si>
  <si>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Project Vehicle expenses</t>
  </si>
  <si>
    <t>Program  HR salary &amp; benefit (Project Site Level)</t>
  </si>
  <si>
    <t>Construction Foreman</t>
  </si>
  <si>
    <t>1.3.4</t>
  </si>
  <si>
    <t>1.3.5</t>
  </si>
  <si>
    <t>1.3.6</t>
  </si>
  <si>
    <t>Program staff medical expense</t>
  </si>
  <si>
    <t>Sub Total</t>
  </si>
  <si>
    <t>Locally Hired Staff</t>
  </si>
  <si>
    <t>Truck driver assistant Salary</t>
  </si>
  <si>
    <t>Field worker clothes and supplies</t>
  </si>
  <si>
    <t>Contractual labor (mason, plumber, etc.)</t>
  </si>
  <si>
    <t>1.4.5</t>
  </si>
  <si>
    <t>1.5.1</t>
  </si>
  <si>
    <t>Stationary (for all trainee /committee)</t>
  </si>
  <si>
    <t>1.5.2</t>
  </si>
  <si>
    <t>1.5.3</t>
  </si>
  <si>
    <t>Training manuals and guide book</t>
  </si>
  <si>
    <t>1.5.4</t>
  </si>
  <si>
    <t xml:space="preserve">Per diem for trainee (committee) &amp; other community members </t>
  </si>
  <si>
    <t>1.5.5</t>
  </si>
  <si>
    <t>Admin staff salary &amp; benefit ( A/A)</t>
  </si>
  <si>
    <t>2.1.1</t>
  </si>
  <si>
    <t xml:space="preserve">Country Director </t>
  </si>
  <si>
    <t>month</t>
  </si>
  <si>
    <t>2.1.2</t>
  </si>
  <si>
    <t>Finance Officer</t>
  </si>
  <si>
    <t>2.1.3</t>
  </si>
  <si>
    <t>Liaison &amp; Logistics officer</t>
  </si>
  <si>
    <t>2.2.2</t>
  </si>
  <si>
    <t>Accountant &amp; Cashier</t>
  </si>
  <si>
    <t xml:space="preserve">Office messenger and cleaner </t>
  </si>
  <si>
    <t>Guards (3 person)</t>
  </si>
  <si>
    <t>2.3.1</t>
  </si>
  <si>
    <t xml:space="preserve"> Vehicles maintenance &amp; other related expenses </t>
  </si>
  <si>
    <t>Admin Staff Medical Expense</t>
  </si>
  <si>
    <t>Stationeries, cleaning equipment/materials</t>
  </si>
  <si>
    <t>Telephone, Postage, Fax, Internet</t>
  </si>
  <si>
    <t xml:space="preserve">Office and store rent  </t>
  </si>
  <si>
    <t xml:space="preserve">Membership fee to CCRDA &amp; CANGO </t>
  </si>
  <si>
    <t xml:space="preserve">Auditing &amp; other professional fees </t>
  </si>
  <si>
    <t>Bank Service Charge</t>
  </si>
  <si>
    <t>Vehicle accident insurance</t>
  </si>
  <si>
    <t>Office Equipment Purchase and Lease Cost</t>
  </si>
  <si>
    <t>1.3.7</t>
  </si>
  <si>
    <t xml:space="preserve">Community Mobilizer  </t>
  </si>
  <si>
    <t>Month</t>
  </si>
  <si>
    <t xml:space="preserve">Camping equipment and other miscellaneous cost </t>
  </si>
  <si>
    <t>#</t>
  </si>
  <si>
    <t>Item</t>
  </si>
  <si>
    <t>Unit Price ETB</t>
  </si>
  <si>
    <t>PROJECT TOTALS  ETB</t>
  </si>
  <si>
    <t>qts</t>
  </si>
  <si>
    <t>Utilities/water, electricity, cleaning service etc</t>
  </si>
  <si>
    <t>Assistant Community Educators (10 people for the first 12 months and 5 people for the remaining 12 months)</t>
  </si>
  <si>
    <t>No of schools: 2</t>
  </si>
  <si>
    <t xml:space="preserve">Total beneficiary: M= 727  F= 757  T= 1484 </t>
  </si>
  <si>
    <t>No of students: M= 826  F= 719  T= 1545</t>
  </si>
  <si>
    <t>Livelihood Officer</t>
  </si>
  <si>
    <t>Project Coordinator</t>
  </si>
  <si>
    <t xml:space="preserve">Construction Team Leader/Hydrologist </t>
  </si>
  <si>
    <t>2.1.4</t>
  </si>
  <si>
    <t xml:space="preserve"> Overhead Expenses</t>
  </si>
  <si>
    <t>1.5.6</t>
  </si>
  <si>
    <t>Capacity Building</t>
  </si>
  <si>
    <t>WASH Assoc &amp; SHG Training</t>
  </si>
  <si>
    <t>Monitoring &amp; Evaluation</t>
  </si>
  <si>
    <t xml:space="preserve">Monitoring, evaluation, net work &amp; experience sharing trips </t>
  </si>
  <si>
    <t xml:space="preserve">Eucalyptus poles </t>
  </si>
  <si>
    <t xml:space="preserve">Back up activity and monitoring </t>
  </si>
  <si>
    <t>2.3.2</t>
  </si>
  <si>
    <t>Total Admin Staff Salary &amp; Benefit</t>
  </si>
  <si>
    <t>Project duration: 2 years</t>
  </si>
  <si>
    <t>Project name: Zala Dola WaSH Project</t>
  </si>
  <si>
    <t xml:space="preserve">Seedlings in spring area </t>
  </si>
  <si>
    <t>Accountant / Admin Assistant</t>
  </si>
  <si>
    <t>No of health stations: 1</t>
  </si>
  <si>
    <t>On Job training for caretakers &amp; other technical staff</t>
  </si>
  <si>
    <t xml:space="preserve">SHGs members training (7 groups) </t>
  </si>
  <si>
    <t>HDPE PN16 - 40 Pipe</t>
  </si>
  <si>
    <t>HDPE  PN16 - 32 Pipe</t>
  </si>
  <si>
    <t>HDPE  PN16 - 25 Pipe</t>
  </si>
  <si>
    <t>m</t>
  </si>
  <si>
    <t>GI ppe 1 1/2''</t>
  </si>
  <si>
    <t>GI ppe 1 1/4''</t>
  </si>
  <si>
    <t>GI pipe 1''</t>
  </si>
  <si>
    <t>1.1.22</t>
  </si>
  <si>
    <t>1.1.23</t>
  </si>
  <si>
    <t>1.1.24</t>
  </si>
  <si>
    <t xml:space="preserve">1.3.3 </t>
  </si>
  <si>
    <t>Assistant Foreman salary</t>
  </si>
  <si>
    <t>LS</t>
  </si>
  <si>
    <t>2.2.1</t>
  </si>
  <si>
    <t>2.2.3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</si>
  <si>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</si>
  <si>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</si>
  <si>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</si>
  <si>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</si>
  <si>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</si>
  <si>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</si>
  <si>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</si>
  <si>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</si>
  <si>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% of TOTAL</t>
  </si>
  <si>
    <t>Construction Material Costs</t>
  </si>
  <si>
    <t>PROGRAM/OPERATIONAL COSTS</t>
  </si>
  <si>
    <t>Combined Staff Costs - Program &amp; Locally Hired</t>
  </si>
  <si>
    <t>ADMIN COSTS</t>
  </si>
  <si>
    <t>2.4.1</t>
  </si>
  <si>
    <t>2.4.2</t>
  </si>
  <si>
    <t xml:space="preserve"> Total Evaluation &amp; Administration Costs </t>
  </si>
  <si>
    <t xml:space="preserve">Material &amp; Labor Transport Expenses </t>
  </si>
  <si>
    <t>GBP£</t>
  </si>
  <si>
    <t>GBP XE RATE</t>
  </si>
  <si>
    <t>Admin staff - At Project Site</t>
  </si>
  <si>
    <t>total for pipes</t>
  </si>
  <si>
    <t>cost per metre of HDPE pipe</t>
  </si>
  <si>
    <t>TOTAL PROGRAM/OPERATIONAL COSTS</t>
  </si>
  <si>
    <t>refreshment cost (for all trainee/committee)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</si>
</sst>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#,##0.00_ "/>
    <numFmt numFmtId="166" formatCode="_-* #,##0_-;\-* #,##0_-;_-* &quot;-&quot;??_-;_-@_-"/>
    <numFmt numFmtId="167" formatCode="&quot;£&quot;#,##0.00"/>
    <numFmt numFmtId="168" formatCode="&quot;£&quot;#,##0"/>
    <numFmt numFmtId="169" formatCode="_([$$-409]* #,##0_);_([$$-409]* \(#,##0\);_([$$-409]* &quot;-&quot;??_);_(@_)"/>
    <numFmt numFmtId="170" formatCode="0.000000"/>
    <numFmt numFmtId="171" formatCode="&quot;£&quot;#,##0.00;[Red]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i/>
      <sz val="16"/>
      <color theme="1"/>
      <name val="Calibri"/>
      <scheme val="minor"/>
    </font>
    <font>
      <b/>
      <sz val="16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>
      <alignment vertical="center"/>
    </xf>
    <xf numFmtId="40" fontId="6" fillId="0" borderId="0" applyFont="0" applyFill="0" applyBorder="0" applyAlignment="0" applyProtection="0">
      <alignment vertical="center"/>
    </xf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6">
    <xf numFmtId="0" fontId="0" fillId="0" borderId="0" xfId="0"/>
    <xf numFmtId="171" fontId="8" fillId="8" borderId="4" xfId="0" applyNumberFormat="1" applyFont="1" applyFill="1" applyBorder="1" applyAlignment="1">
      <alignment horizontal="center" vertical="center" wrapText="1"/>
    </xf>
    <xf numFmtId="164" fontId="9" fillId="0" borderId="4" xfId="1" applyNumberFormat="1" applyFont="1" applyBorder="1" applyAlignment="1">
      <alignment vertical="center"/>
    </xf>
    <xf numFmtId="43" fontId="7" fillId="5" borderId="4" xfId="1" applyFont="1" applyFill="1" applyBorder="1" applyAlignment="1">
      <alignment horizontal="right" vertical="center" wrapText="1"/>
    </xf>
    <xf numFmtId="164" fontId="7" fillId="5" borderId="4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9" fontId="8" fillId="7" borderId="6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8" fillId="7" borderId="15" xfId="1" applyNumberFormat="1" applyFont="1" applyFill="1" applyBorder="1" applyAlignment="1">
      <alignment horizontal="center" vertical="center"/>
    </xf>
    <xf numFmtId="171" fontId="8" fillId="0" borderId="0" xfId="0" applyNumberFormat="1" applyFont="1" applyAlignment="1">
      <alignment vertical="center"/>
    </xf>
    <xf numFmtId="9" fontId="7" fillId="0" borderId="0" xfId="12" applyFont="1" applyAlignment="1">
      <alignment vertical="center"/>
    </xf>
    <xf numFmtId="0" fontId="8" fillId="3" borderId="0" xfId="0" applyFont="1" applyFill="1" applyAlignment="1">
      <alignment vertical="center"/>
    </xf>
    <xf numFmtId="171" fontId="8" fillId="3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71" fontId="8" fillId="2" borderId="0" xfId="0" applyNumberFormat="1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171" fontId="8" fillId="4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9" fontId="7" fillId="0" borderId="0" xfId="12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left" vertical="center" wrapText="1"/>
    </xf>
    <xf numFmtId="9" fontId="8" fillId="0" borderId="0" xfId="12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71" fontId="7" fillId="8" borderId="16" xfId="0" applyNumberFormat="1" applyFont="1" applyFill="1" applyBorder="1" applyAlignment="1">
      <alignment vertical="center"/>
    </xf>
    <xf numFmtId="9" fontId="7" fillId="0" borderId="0" xfId="12" applyFont="1" applyBorder="1" applyAlignment="1">
      <alignment vertical="center"/>
    </xf>
    <xf numFmtId="0" fontId="7" fillId="5" borderId="4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vertical="center"/>
    </xf>
    <xf numFmtId="43" fontId="7" fillId="5" borderId="4" xfId="1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vertical="center"/>
    </xf>
    <xf numFmtId="171" fontId="7" fillId="8" borderId="17" xfId="1" applyNumberFormat="1" applyFont="1" applyFill="1" applyBorder="1" applyAlignment="1">
      <alignment vertical="center"/>
    </xf>
    <xf numFmtId="9" fontId="7" fillId="5" borderId="0" xfId="12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4" fontId="8" fillId="5" borderId="0" xfId="0" applyNumberFormat="1" applyFont="1" applyFill="1" applyBorder="1" applyAlignment="1">
      <alignment vertical="center"/>
    </xf>
    <xf numFmtId="164" fontId="7" fillId="5" borderId="4" xfId="1" applyNumberFormat="1" applyFont="1" applyFill="1" applyBorder="1" applyAlignment="1">
      <alignment vertical="center"/>
    </xf>
    <xf numFmtId="164" fontId="7" fillId="5" borderId="1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7" fillId="5" borderId="9" xfId="1" applyNumberFormat="1" applyFont="1" applyFill="1" applyBorder="1" applyAlignment="1">
      <alignment vertical="center"/>
    </xf>
    <xf numFmtId="164" fontId="7" fillId="0" borderId="13" xfId="1" applyNumberFormat="1" applyFont="1" applyBorder="1" applyAlignment="1">
      <alignment vertical="center"/>
    </xf>
    <xf numFmtId="164" fontId="7" fillId="0" borderId="4" xfId="1" applyNumberFormat="1" applyFont="1" applyBorder="1" applyAlignment="1">
      <alignment vertical="center"/>
    </xf>
    <xf numFmtId="164" fontId="7" fillId="0" borderId="10" xfId="1" applyNumberFormat="1" applyFont="1" applyBorder="1" applyAlignment="1">
      <alignment vertical="center"/>
    </xf>
    <xf numFmtId="164" fontId="7" fillId="5" borderId="10" xfId="1" applyNumberFormat="1" applyFont="1" applyFill="1" applyBorder="1" applyAlignment="1">
      <alignment vertical="center"/>
    </xf>
    <xf numFmtId="164" fontId="7" fillId="5" borderId="11" xfId="1" applyNumberFormat="1" applyFont="1" applyFill="1" applyBorder="1" applyAlignment="1">
      <alignment vertical="center"/>
    </xf>
    <xf numFmtId="164" fontId="7" fillId="5" borderId="0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164" fontId="7" fillId="5" borderId="5" xfId="1" applyNumberFormat="1" applyFont="1" applyFill="1" applyBorder="1" applyAlignment="1">
      <alignment vertical="center"/>
    </xf>
    <xf numFmtId="164" fontId="8" fillId="0" borderId="8" xfId="1" applyNumberFormat="1" applyFont="1" applyFill="1" applyBorder="1" applyAlignment="1">
      <alignment vertical="center"/>
    </xf>
    <xf numFmtId="9" fontId="8" fillId="5" borderId="0" xfId="12" applyFont="1" applyFill="1" applyBorder="1" applyAlignment="1">
      <alignment vertical="center"/>
    </xf>
    <xf numFmtId="164" fontId="8" fillId="5" borderId="0" xfId="1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164" fontId="8" fillId="5" borderId="4" xfId="1" applyNumberFormat="1" applyFont="1" applyFill="1" applyBorder="1" applyAlignment="1">
      <alignment vertical="center" wrapText="1"/>
    </xf>
    <xf numFmtId="164" fontId="8" fillId="0" borderId="7" xfId="1" applyNumberFormat="1" applyFont="1" applyFill="1" applyBorder="1" applyAlignment="1">
      <alignment vertical="center" wrapText="1"/>
    </xf>
    <xf numFmtId="171" fontId="7" fillId="8" borderId="19" xfId="1" applyNumberFormat="1" applyFont="1" applyFill="1" applyBorder="1" applyAlignment="1">
      <alignment vertical="center"/>
    </xf>
    <xf numFmtId="164" fontId="7" fillId="5" borderId="3" xfId="1" applyNumberFormat="1" applyFont="1" applyFill="1" applyBorder="1" applyAlignment="1">
      <alignment vertical="center"/>
    </xf>
    <xf numFmtId="166" fontId="7" fillId="0" borderId="1" xfId="1" applyNumberFormat="1" applyFont="1" applyFill="1" applyBorder="1" applyAlignment="1">
      <alignment vertical="center"/>
    </xf>
    <xf numFmtId="3" fontId="7" fillId="5" borderId="0" xfId="0" applyNumberFormat="1" applyFont="1" applyFill="1" applyBorder="1" applyAlignment="1">
      <alignment vertical="center"/>
    </xf>
    <xf numFmtId="166" fontId="7" fillId="5" borderId="1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64" fontId="7" fillId="5" borderId="4" xfId="1" applyNumberFormat="1" applyFont="1" applyFill="1" applyBorder="1" applyAlignment="1">
      <alignment horizontal="left" vertical="center" wrapText="1"/>
    </xf>
    <xf numFmtId="164" fontId="7" fillId="5" borderId="4" xfId="1" applyNumberFormat="1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vertical="center"/>
    </xf>
    <xf numFmtId="164" fontId="8" fillId="5" borderId="4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right" vertical="center" wrapText="1"/>
    </xf>
    <xf numFmtId="43" fontId="7" fillId="5" borderId="4" xfId="1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vertical="center" wrapText="1"/>
    </xf>
    <xf numFmtId="164" fontId="7" fillId="5" borderId="0" xfId="1" applyNumberFormat="1" applyFont="1" applyFill="1" applyBorder="1" applyAlignment="1">
      <alignment vertical="center"/>
    </xf>
    <xf numFmtId="167" fontId="7" fillId="5" borderId="0" xfId="0" applyNumberFormat="1" applyFont="1" applyFill="1" applyBorder="1" applyAlignment="1">
      <alignment vertical="center"/>
    </xf>
    <xf numFmtId="164" fontId="8" fillId="5" borderId="4" xfId="1" applyNumberFormat="1" applyFont="1" applyFill="1" applyBorder="1" applyAlignment="1">
      <alignment horizontal="right" vertical="center" wrapText="1"/>
    </xf>
    <xf numFmtId="171" fontId="7" fillId="8" borderId="18" xfId="1" applyNumberFormat="1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3" fontId="7" fillId="0" borderId="4" xfId="5" applyNumberFormat="1" applyFont="1" applyBorder="1" applyAlignment="1">
      <alignment vertical="center"/>
    </xf>
    <xf numFmtId="164" fontId="7" fillId="5" borderId="1" xfId="1" applyNumberFormat="1" applyFont="1" applyFill="1" applyBorder="1" applyAlignment="1">
      <alignment horizontal="right" vertical="center" wrapText="1"/>
    </xf>
    <xf numFmtId="0" fontId="7" fillId="0" borderId="0" xfId="5" applyFont="1" applyAlignment="1">
      <alignment vertical="center"/>
    </xf>
    <xf numFmtId="164" fontId="7" fillId="5" borderId="2" xfId="1" applyNumberFormat="1" applyFont="1" applyFill="1" applyBorder="1" applyAlignment="1">
      <alignment horizontal="right" vertical="center" wrapText="1"/>
    </xf>
    <xf numFmtId="0" fontId="10" fillId="9" borderId="4" xfId="0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horizontal="right" vertical="center" wrapText="1"/>
    </xf>
    <xf numFmtId="9" fontId="8" fillId="5" borderId="0" xfId="12" applyFont="1" applyFill="1" applyBorder="1" applyAlignment="1">
      <alignment horizontal="right" vertical="center" wrapText="1"/>
    </xf>
    <xf numFmtId="164" fontId="8" fillId="5" borderId="0" xfId="1" applyNumberFormat="1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right" vertical="center" wrapText="1"/>
    </xf>
    <xf numFmtId="164" fontId="7" fillId="5" borderId="4" xfId="1" applyNumberFormat="1" applyFont="1" applyFill="1" applyBorder="1" applyAlignment="1">
      <alignment horizontal="right" vertical="center"/>
    </xf>
    <xf numFmtId="164" fontId="8" fillId="5" borderId="4" xfId="1" applyNumberFormat="1" applyFont="1" applyFill="1" applyBorder="1" applyAlignment="1">
      <alignment horizontal="right" vertical="center"/>
    </xf>
    <xf numFmtId="171" fontId="8" fillId="8" borderId="4" xfId="1" applyNumberFormat="1" applyFont="1" applyFill="1" applyBorder="1" applyAlignment="1">
      <alignment vertical="center"/>
    </xf>
    <xf numFmtId="0" fontId="8" fillId="5" borderId="0" xfId="0" applyFont="1" applyFill="1" applyBorder="1" applyAlignment="1">
      <alignment vertical="center" wrapText="1"/>
    </xf>
    <xf numFmtId="164" fontId="8" fillId="5" borderId="0" xfId="0" applyNumberFormat="1" applyFont="1" applyFill="1" applyBorder="1" applyAlignment="1">
      <alignment vertical="center"/>
    </xf>
    <xf numFmtId="171" fontId="7" fillId="5" borderId="0" xfId="0" applyNumberFormat="1" applyFont="1" applyFill="1" applyBorder="1" applyAlignment="1">
      <alignment vertical="center"/>
    </xf>
    <xf numFmtId="169" fontId="7" fillId="0" borderId="0" xfId="0" applyNumberFormat="1" applyFont="1" applyAlignment="1">
      <alignment vertical="center"/>
    </xf>
    <xf numFmtId="171" fontId="7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 wrapText="1"/>
    </xf>
    <xf numFmtId="170" fontId="8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171" fontId="8" fillId="0" borderId="0" xfId="0" applyNumberFormat="1" applyFont="1" applyFill="1" applyAlignment="1">
      <alignment vertical="center"/>
    </xf>
    <xf numFmtId="171" fontId="7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8" fillId="5" borderId="4" xfId="0" applyFont="1" applyFill="1" applyBorder="1" applyAlignment="1">
      <alignment horizontal="left" vertical="center" wrapText="1"/>
    </xf>
    <xf numFmtId="171" fontId="8" fillId="8" borderId="18" xfId="1" applyNumberFormat="1" applyFont="1" applyFill="1" applyBorder="1" applyAlignment="1">
      <alignment vertical="center"/>
    </xf>
    <xf numFmtId="168" fontId="8" fillId="0" borderId="0" xfId="0" applyNumberFormat="1" applyFont="1" applyFill="1" applyAlignment="1">
      <alignment horizontal="center" vertical="center"/>
    </xf>
    <xf numFmtId="9" fontId="8" fillId="7" borderId="4" xfId="1" applyNumberFormat="1" applyFont="1" applyFill="1" applyBorder="1" applyAlignment="1">
      <alignment horizontal="center" vertical="center"/>
    </xf>
    <xf numFmtId="9" fontId="8" fillId="7" borderId="20" xfId="1" applyNumberFormat="1" applyFont="1" applyFill="1" applyBorder="1" applyAlignment="1">
      <alignment horizontal="center" vertical="center"/>
    </xf>
    <xf numFmtId="0" fontId="13" fillId="8" borderId="4" xfId="0" applyNumberFormat="1" applyFont="1" applyFill="1" applyBorder="1" applyAlignment="1">
      <alignment horizontal="center" vertical="center"/>
    </xf>
    <xf numFmtId="9" fontId="8" fillId="7" borderId="4" xfId="0" applyNumberFormat="1" applyFont="1" applyFill="1" applyBorder="1" applyAlignment="1">
      <alignment horizontal="center" vertical="center" wrapText="1"/>
    </xf>
    <xf numFmtId="9" fontId="7" fillId="7" borderId="4" xfId="0" applyNumberFormat="1" applyFont="1" applyFill="1" applyBorder="1" applyAlignment="1">
      <alignment horizontal="center" vertical="center"/>
    </xf>
    <xf numFmtId="9" fontId="7" fillId="7" borderId="14" xfId="0" applyNumberFormat="1" applyFont="1" applyFill="1" applyBorder="1" applyAlignment="1">
      <alignment horizontal="center" vertical="center"/>
    </xf>
    <xf numFmtId="9" fontId="7" fillId="7" borderId="6" xfId="1" applyNumberFormat="1" applyFont="1" applyFill="1" applyBorder="1" applyAlignment="1">
      <alignment horizontal="center" vertical="center"/>
    </xf>
    <xf numFmtId="9" fontId="7" fillId="7" borderId="20" xfId="1" applyNumberFormat="1" applyFont="1" applyFill="1" applyBorder="1" applyAlignment="1">
      <alignment horizontal="center" vertical="center"/>
    </xf>
    <xf numFmtId="9" fontId="7" fillId="7" borderId="14" xfId="1" applyNumberFormat="1" applyFont="1" applyFill="1" applyBorder="1" applyAlignment="1">
      <alignment horizontal="center" vertical="center"/>
    </xf>
    <xf numFmtId="9" fontId="8" fillId="7" borderId="14" xfId="1" applyNumberFormat="1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vertical="center"/>
    </xf>
    <xf numFmtId="171" fontId="7" fillId="8" borderId="21" xfId="1" applyNumberFormat="1" applyFont="1" applyFill="1" applyBorder="1" applyAlignment="1">
      <alignment vertical="center"/>
    </xf>
    <xf numFmtId="171" fontId="7" fillId="5" borderId="0" xfId="12" applyNumberFormat="1" applyFont="1" applyFill="1" applyBorder="1" applyAlignment="1">
      <alignment vertical="center"/>
    </xf>
    <xf numFmtId="1" fontId="7" fillId="5" borderId="4" xfId="0" applyNumberFormat="1" applyFont="1" applyFill="1" applyBorder="1" applyAlignment="1">
      <alignment horizontal="right" vertical="center"/>
    </xf>
    <xf numFmtId="164" fontId="7" fillId="5" borderId="1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6" borderId="4" xfId="0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8" fillId="3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</cellXfs>
  <cellStyles count="25">
    <cellStyle name="Comma" xfId="1" builtinId="3"/>
    <cellStyle name="Comma 2" xfId="6"/>
    <cellStyle name="Comma 2 2 2" xfId="2"/>
    <cellStyle name="Comma 2 2 2 2" xfId="7"/>
    <cellStyle name="Followed Hyperlink" xfId="4" builtinId="9" hidden="1"/>
    <cellStyle name="Followed Hyperlink" xfId="9" builtinId="9" hidden="1"/>
    <cellStyle name="Followed Hyperlink" xfId="11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3" builtinId="8" hidden="1"/>
    <cellStyle name="Hyperlink" xfId="8" builtinId="8" hidden="1"/>
    <cellStyle name="Hyperlink" xfId="10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2" xfId="5"/>
    <cellStyle name="Percent" xfId="12" builtinId="5"/>
  </cellStyles>
  <dxfs count="0"/>
  <tableStyles count="0" defaultTableStyle="TableStyleMedium2" defaultPivotStyle="PivotStyleLight16"/>
  <colors>
    <mruColors>
      <color rgb="FFCCFFCC"/>
      <color rgb="FFFFCCFF"/>
      <color rgb="FFCCECFF"/>
      <color rgb="FF0000CC"/>
      <color rgb="FFFFFFCC"/>
      <color rgb="FF66FFFF"/>
      <color rgb="FFFF9900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102"/>
  <sheetViews>
    <sheetView tabSelected="1" workbookViewId="0">
      <pane xSplit="8" ySplit="5" topLeftCell="I30" activePane="bottomRight" state="frozen"/>
      <selection pane="topRight" activeCell="I1" sqref="I1"/>
      <selection pane="bottomLeft" activeCell="A6" sqref="A6"/>
      <selection pane="bottomRight" activeCell="L46" sqref="L46"/>
    </sheetView>
  </sheetViews>
  <sheetFormatPr baseColWidth="10" defaultColWidth="8.83203125" defaultRowHeight="21" x14ac:dyDescent="0.2"/>
  <cols>
    <col min="1" max="1" width="1.5" style="7" customWidth="1"/>
    <col min="2" max="2" width="10.33203125" style="7" customWidth="1"/>
    <col min="3" max="3" width="69.83203125" style="7" customWidth="1"/>
    <col min="4" max="4" width="11.33203125" style="13" customWidth="1"/>
    <col min="5" max="5" width="14" style="142" customWidth="1"/>
    <col min="6" max="6" width="15" style="7" customWidth="1"/>
    <col min="7" max="7" width="16" style="7" customWidth="1"/>
    <col min="8" max="8" width="27.5" style="109" customWidth="1"/>
    <col min="9" max="9" width="18.1640625" style="13" customWidth="1"/>
    <col min="10" max="10" width="16.5" style="16" customWidth="1"/>
    <col min="11" max="11" width="17.33203125" style="7" customWidth="1"/>
    <col min="12" max="12" width="13.5" style="7" customWidth="1"/>
    <col min="13" max="13" width="8.83203125" style="7"/>
    <col min="14" max="14" width="11.5" style="7" customWidth="1"/>
    <col min="15" max="15" width="10.1640625" style="7" customWidth="1"/>
    <col min="16" max="16384" width="8.83203125" style="7"/>
  </cols>
  <sheetData>
    <row r="1" spans="2:17" ht="22" thickBot="1" x14ac:dyDescent="0.25">
      <c r="B1" s="5" t="s">
        <v>134</v>
      </c>
      <c r="C1" s="5"/>
      <c r="D1" s="8" t="s">
        <v>116</v>
      </c>
      <c r="E1" s="112"/>
      <c r="F1" s="5"/>
      <c r="G1" s="5" t="s">
        <v>36</v>
      </c>
      <c r="H1" s="15"/>
      <c r="I1" s="8"/>
    </row>
    <row r="2" spans="2:17" ht="22" thickBot="1" x14ac:dyDescent="0.25">
      <c r="B2" s="5" t="s">
        <v>117</v>
      </c>
      <c r="C2" s="5"/>
      <c r="D2" s="8" t="s">
        <v>137</v>
      </c>
      <c r="E2" s="112"/>
      <c r="F2" s="5"/>
      <c r="G2" s="17" t="s">
        <v>37</v>
      </c>
      <c r="H2" s="18"/>
      <c r="I2" s="143">
        <f>G94</f>
        <v>4289707.7410096005</v>
      </c>
      <c r="K2" s="130" t="s">
        <v>173</v>
      </c>
      <c r="L2" s="129">
        <v>2.73587E-2</v>
      </c>
    </row>
    <row r="3" spans="2:17" x14ac:dyDescent="0.2">
      <c r="B3" s="5" t="s">
        <v>133</v>
      </c>
      <c r="C3" s="5"/>
      <c r="D3" s="8"/>
      <c r="E3" s="112"/>
      <c r="F3" s="5"/>
      <c r="G3" s="19" t="s">
        <v>38</v>
      </c>
      <c r="H3" s="20"/>
      <c r="I3" s="144">
        <f>I4*10/100</f>
        <v>476634.19344551116</v>
      </c>
    </row>
    <row r="4" spans="2:17" ht="22" thickBot="1" x14ac:dyDescent="0.25">
      <c r="B4" s="21" t="s">
        <v>118</v>
      </c>
      <c r="C4" s="21"/>
      <c r="D4" s="22"/>
      <c r="E4" s="135"/>
      <c r="F4" s="5"/>
      <c r="G4" s="23"/>
      <c r="H4" s="24" t="s">
        <v>39</v>
      </c>
      <c r="I4" s="145">
        <f>I2*100/90</f>
        <v>4766341.9344551116</v>
      </c>
      <c r="K4" s="25"/>
      <c r="L4" s="25"/>
    </row>
    <row r="5" spans="2:17" ht="56" customHeight="1" thickBot="1" x14ac:dyDescent="0.25">
      <c r="B5" s="26" t="s">
        <v>109</v>
      </c>
      <c r="C5" s="26" t="s">
        <v>110</v>
      </c>
      <c r="D5" s="26" t="s">
        <v>1</v>
      </c>
      <c r="E5" s="26" t="s">
        <v>2</v>
      </c>
      <c r="F5" s="26" t="s">
        <v>111</v>
      </c>
      <c r="G5" s="27" t="s">
        <v>112</v>
      </c>
      <c r="H5" s="1" t="s">
        <v>172</v>
      </c>
      <c r="I5" s="122" t="s">
        <v>163</v>
      </c>
      <c r="J5" s="28"/>
      <c r="K5" s="29"/>
      <c r="L5" s="29"/>
      <c r="M5" s="29"/>
      <c r="N5" s="29"/>
      <c r="O5" s="29"/>
    </row>
    <row r="6" spans="2:17" ht="22" thickBot="1" x14ac:dyDescent="0.25">
      <c r="B6" s="30">
        <v>1</v>
      </c>
      <c r="C6" s="31" t="s">
        <v>165</v>
      </c>
      <c r="D6" s="26"/>
      <c r="E6" s="136"/>
      <c r="F6" s="26"/>
      <c r="G6" s="27"/>
      <c r="H6" s="121"/>
      <c r="I6" s="123"/>
      <c r="J6" s="32"/>
      <c r="K6" s="33"/>
      <c r="L6" s="33"/>
      <c r="M6" s="33"/>
      <c r="N6" s="33"/>
      <c r="O6" s="33"/>
      <c r="P6" s="33"/>
      <c r="Q6" s="33"/>
    </row>
    <row r="7" spans="2:17" ht="22" thickBot="1" x14ac:dyDescent="0.25">
      <c r="B7" s="34">
        <v>1.1000000000000001</v>
      </c>
      <c r="C7" s="37" t="s">
        <v>164</v>
      </c>
      <c r="D7" s="36"/>
      <c r="E7" s="34"/>
      <c r="F7" s="35"/>
      <c r="G7" s="37"/>
      <c r="H7" s="38"/>
      <c r="I7" s="124"/>
      <c r="J7" s="39"/>
      <c r="K7" s="33"/>
      <c r="L7" s="33"/>
      <c r="M7" s="33"/>
      <c r="N7" s="33"/>
      <c r="O7" s="33"/>
      <c r="P7" s="33"/>
      <c r="Q7" s="33"/>
    </row>
    <row r="8" spans="2:17" s="47" customFormat="1" ht="22" thickBot="1" x14ac:dyDescent="0.25">
      <c r="B8" s="40" t="s">
        <v>40</v>
      </c>
      <c r="C8" s="41" t="s">
        <v>140</v>
      </c>
      <c r="D8" s="42" t="s">
        <v>143</v>
      </c>
      <c r="E8" s="133">
        <f>2058+606</f>
        <v>2664</v>
      </c>
      <c r="F8" s="43">
        <v>65</v>
      </c>
      <c r="G8" s="44">
        <f t="shared" ref="G8:G29" si="0">E8*F8</f>
        <v>173160</v>
      </c>
      <c r="H8" s="45">
        <f>G8*$L$2</f>
        <v>4737.4324919999999</v>
      </c>
      <c r="I8" s="125"/>
      <c r="J8" s="46" t="s">
        <v>175</v>
      </c>
      <c r="K8" s="6" t="s">
        <v>176</v>
      </c>
      <c r="L8" s="6"/>
      <c r="M8" s="6"/>
      <c r="N8" s="6"/>
      <c r="O8" s="6"/>
      <c r="P8" s="6"/>
      <c r="Q8" s="6"/>
    </row>
    <row r="9" spans="2:17" s="47" customFormat="1" ht="22" thickBot="1" x14ac:dyDescent="0.25">
      <c r="B9" s="40" t="s">
        <v>41</v>
      </c>
      <c r="C9" s="41" t="s">
        <v>141</v>
      </c>
      <c r="D9" s="42" t="s">
        <v>143</v>
      </c>
      <c r="E9" s="133">
        <v>1862</v>
      </c>
      <c r="F9" s="43">
        <v>48</v>
      </c>
      <c r="G9" s="44">
        <f t="shared" si="0"/>
        <v>89376</v>
      </c>
      <c r="H9" s="45">
        <f t="shared" ref="H9:H32" si="1">G9*$L$2</f>
        <v>2445.2111712000001</v>
      </c>
      <c r="I9" s="125"/>
      <c r="J9" s="132">
        <f>H8+H9+H10</f>
        <v>8241.8357336999998</v>
      </c>
      <c r="K9" s="107">
        <f>J9/5860</f>
        <v>1.4064566098464164</v>
      </c>
      <c r="L9" s="6"/>
      <c r="M9" s="6"/>
      <c r="N9" s="6"/>
      <c r="O9" s="6"/>
      <c r="P9" s="6"/>
      <c r="Q9" s="6"/>
    </row>
    <row r="10" spans="2:17" s="47" customFormat="1" ht="22" thickBot="1" x14ac:dyDescent="0.25">
      <c r="B10" s="40" t="s">
        <v>42</v>
      </c>
      <c r="C10" s="41" t="s">
        <v>142</v>
      </c>
      <c r="D10" s="42" t="s">
        <v>143</v>
      </c>
      <c r="E10" s="133">
        <v>1335</v>
      </c>
      <c r="F10" s="43">
        <v>29</v>
      </c>
      <c r="G10" s="44">
        <f t="shared" si="0"/>
        <v>38715</v>
      </c>
      <c r="H10" s="45">
        <f t="shared" si="1"/>
        <v>1059.1920705</v>
      </c>
      <c r="I10" s="125"/>
      <c r="J10" s="46"/>
      <c r="K10" s="6"/>
      <c r="L10" s="6"/>
      <c r="M10" s="6"/>
      <c r="N10" s="48"/>
      <c r="O10" s="6"/>
      <c r="P10" s="6"/>
      <c r="Q10" s="6"/>
    </row>
    <row r="11" spans="2:17" s="47" customFormat="1" ht="22" thickBot="1" x14ac:dyDescent="0.25">
      <c r="B11" s="40" t="s">
        <v>43</v>
      </c>
      <c r="C11" s="41" t="s">
        <v>144</v>
      </c>
      <c r="D11" s="42" t="s">
        <v>7</v>
      </c>
      <c r="E11" s="133">
        <v>30</v>
      </c>
      <c r="F11" s="49">
        <v>2480</v>
      </c>
      <c r="G11" s="44">
        <f t="shared" si="0"/>
        <v>74400</v>
      </c>
      <c r="H11" s="45">
        <f t="shared" si="1"/>
        <v>2035.4872800000001</v>
      </c>
      <c r="I11" s="125"/>
      <c r="J11" s="46"/>
      <c r="K11" s="6"/>
      <c r="L11" s="6"/>
      <c r="M11" s="6"/>
      <c r="N11" s="48"/>
      <c r="O11" s="6"/>
      <c r="P11" s="6"/>
      <c r="Q11" s="6"/>
    </row>
    <row r="12" spans="2:17" s="47" customFormat="1" ht="22" thickBot="1" x14ac:dyDescent="0.25">
      <c r="B12" s="40" t="s">
        <v>44</v>
      </c>
      <c r="C12" s="41" t="s">
        <v>145</v>
      </c>
      <c r="D12" s="42" t="s">
        <v>7</v>
      </c>
      <c r="E12" s="133">
        <v>5</v>
      </c>
      <c r="F12" s="49">
        <v>1850</v>
      </c>
      <c r="G12" s="44">
        <f t="shared" si="0"/>
        <v>9250</v>
      </c>
      <c r="H12" s="45">
        <f t="shared" si="1"/>
        <v>253.06797499999999</v>
      </c>
      <c r="I12" s="125"/>
      <c r="J12" s="46"/>
      <c r="K12" s="6"/>
      <c r="L12" s="6"/>
      <c r="M12" s="6"/>
      <c r="N12" s="48"/>
      <c r="O12" s="6"/>
      <c r="P12" s="6"/>
      <c r="Q12" s="6"/>
    </row>
    <row r="13" spans="2:17" s="47" customFormat="1" ht="22" thickBot="1" x14ac:dyDescent="0.25">
      <c r="B13" s="40" t="s">
        <v>45</v>
      </c>
      <c r="C13" s="41" t="s">
        <v>146</v>
      </c>
      <c r="D13" s="42" t="s">
        <v>7</v>
      </c>
      <c r="E13" s="133">
        <v>69</v>
      </c>
      <c r="F13" s="49">
        <v>1500</v>
      </c>
      <c r="G13" s="44">
        <f t="shared" si="0"/>
        <v>103500</v>
      </c>
      <c r="H13" s="45">
        <f t="shared" si="1"/>
        <v>2831.62545</v>
      </c>
      <c r="I13" s="125"/>
      <c r="J13" s="46"/>
      <c r="K13" s="6"/>
      <c r="L13" s="6"/>
      <c r="M13" s="6"/>
      <c r="N13" s="48"/>
      <c r="O13" s="6"/>
      <c r="P13" s="6"/>
      <c r="Q13" s="6"/>
    </row>
    <row r="14" spans="2:17" s="47" customFormat="1" ht="22" thickBot="1" x14ac:dyDescent="0.25">
      <c r="B14" s="40" t="s">
        <v>46</v>
      </c>
      <c r="C14" s="41" t="s">
        <v>3</v>
      </c>
      <c r="D14" s="42" t="s">
        <v>113</v>
      </c>
      <c r="E14" s="134">
        <f>111.09878*4</f>
        <v>444.39512000000002</v>
      </c>
      <c r="F14" s="49">
        <v>245.08</v>
      </c>
      <c r="G14" s="44">
        <f t="shared" si="0"/>
        <v>108912.35600960001</v>
      </c>
      <c r="H14" s="45">
        <f t="shared" si="1"/>
        <v>2979.7004743598441</v>
      </c>
      <c r="I14" s="125"/>
      <c r="J14" s="46"/>
      <c r="K14" s="6"/>
      <c r="L14" s="6"/>
      <c r="M14" s="6"/>
      <c r="N14" s="6"/>
      <c r="O14" s="6"/>
      <c r="P14" s="6"/>
      <c r="Q14" s="6"/>
    </row>
    <row r="15" spans="2:17" s="47" customFormat="1" ht="22" thickBot="1" x14ac:dyDescent="0.25">
      <c r="B15" s="40" t="s">
        <v>47</v>
      </c>
      <c r="C15" s="41" t="s">
        <v>4</v>
      </c>
      <c r="D15" s="42" t="s">
        <v>5</v>
      </c>
      <c r="E15" s="134">
        <v>274.8</v>
      </c>
      <c r="F15" s="2">
        <v>103.5</v>
      </c>
      <c r="G15" s="51">
        <f t="shared" si="0"/>
        <v>28441.800000000003</v>
      </c>
      <c r="H15" s="45">
        <f t="shared" si="1"/>
        <v>778.13067366000007</v>
      </c>
      <c r="I15" s="125"/>
      <c r="J15" s="46"/>
      <c r="K15" s="6"/>
      <c r="L15" s="6"/>
      <c r="M15" s="6"/>
      <c r="N15" s="52"/>
      <c r="O15" s="6"/>
      <c r="P15" s="6"/>
      <c r="Q15" s="6"/>
    </row>
    <row r="16" spans="2:17" s="47" customFormat="1" ht="22" thickBot="1" x14ac:dyDescent="0.25">
      <c r="B16" s="40" t="s">
        <v>48</v>
      </c>
      <c r="C16" s="41" t="s">
        <v>6</v>
      </c>
      <c r="D16" s="42" t="s">
        <v>7</v>
      </c>
      <c r="E16" s="134">
        <v>160</v>
      </c>
      <c r="F16" s="2">
        <v>327.92</v>
      </c>
      <c r="G16" s="44">
        <f t="shared" si="0"/>
        <v>52467.200000000004</v>
      </c>
      <c r="H16" s="45">
        <f t="shared" si="1"/>
        <v>1435.4343846400002</v>
      </c>
      <c r="I16" s="125"/>
      <c r="J16" s="46"/>
      <c r="K16" s="6"/>
      <c r="L16" s="6"/>
      <c r="M16" s="6"/>
      <c r="N16" s="52"/>
      <c r="O16" s="6"/>
      <c r="P16" s="6"/>
      <c r="Q16" s="6"/>
    </row>
    <row r="17" spans="2:17" s="47" customFormat="1" ht="22" thickBot="1" x14ac:dyDescent="0.25">
      <c r="B17" s="40" t="s">
        <v>49</v>
      </c>
      <c r="C17" s="41" t="s">
        <v>8</v>
      </c>
      <c r="D17" s="42" t="s">
        <v>7</v>
      </c>
      <c r="E17" s="134">
        <v>300</v>
      </c>
      <c r="F17" s="2">
        <v>460</v>
      </c>
      <c r="G17" s="44">
        <f t="shared" si="0"/>
        <v>138000</v>
      </c>
      <c r="H17" s="45">
        <f t="shared" si="1"/>
        <v>3775.5005999999998</v>
      </c>
      <c r="I17" s="125"/>
      <c r="J17" s="46"/>
      <c r="K17" s="6"/>
      <c r="L17" s="6"/>
      <c r="M17" s="6"/>
      <c r="N17" s="52"/>
      <c r="O17" s="6"/>
      <c r="P17" s="6"/>
      <c r="Q17" s="6"/>
    </row>
    <row r="18" spans="2:17" s="47" customFormat="1" ht="22" thickBot="1" x14ac:dyDescent="0.25">
      <c r="B18" s="40" t="s">
        <v>50</v>
      </c>
      <c r="C18" s="41" t="s">
        <v>9</v>
      </c>
      <c r="D18" s="42" t="s">
        <v>10</v>
      </c>
      <c r="E18" s="134">
        <v>4</v>
      </c>
      <c r="F18" s="49">
        <v>1209.8</v>
      </c>
      <c r="G18" s="51">
        <f t="shared" si="0"/>
        <v>4839.2</v>
      </c>
      <c r="H18" s="45">
        <f t="shared" si="1"/>
        <v>132.39422103999999</v>
      </c>
      <c r="I18" s="125"/>
      <c r="J18" s="46"/>
      <c r="K18" s="6"/>
      <c r="L18" s="6"/>
      <c r="M18" s="6"/>
      <c r="N18" s="52"/>
      <c r="O18" s="6"/>
      <c r="P18" s="6"/>
      <c r="Q18" s="6"/>
    </row>
    <row r="19" spans="2:17" s="47" customFormat="1" ht="25" customHeight="1" thickBot="1" x14ac:dyDescent="0.25">
      <c r="B19" s="40" t="s">
        <v>51</v>
      </c>
      <c r="C19" s="41" t="s">
        <v>11</v>
      </c>
      <c r="D19" s="42" t="s">
        <v>12</v>
      </c>
      <c r="E19" s="3" t="s">
        <v>24</v>
      </c>
      <c r="F19" s="53">
        <v>120000</v>
      </c>
      <c r="G19" s="44">
        <f>F19</f>
        <v>120000</v>
      </c>
      <c r="H19" s="45">
        <f t="shared" si="1"/>
        <v>3283.0439999999999</v>
      </c>
      <c r="I19" s="125"/>
      <c r="J19" s="46"/>
      <c r="K19" s="6"/>
      <c r="L19" s="6"/>
      <c r="M19" s="6"/>
      <c r="N19" s="48"/>
      <c r="O19" s="6"/>
      <c r="P19" s="6"/>
      <c r="Q19" s="6"/>
    </row>
    <row r="20" spans="2:17" s="47" customFormat="1" ht="22" thickBot="1" x14ac:dyDescent="0.25">
      <c r="B20" s="40" t="s">
        <v>52</v>
      </c>
      <c r="C20" s="41" t="s">
        <v>13</v>
      </c>
      <c r="D20" s="42" t="s">
        <v>14</v>
      </c>
      <c r="E20" s="134">
        <v>120</v>
      </c>
      <c r="F20" s="49">
        <v>1250</v>
      </c>
      <c r="G20" s="44">
        <f t="shared" si="0"/>
        <v>150000</v>
      </c>
      <c r="H20" s="45">
        <f t="shared" si="1"/>
        <v>4103.8050000000003</v>
      </c>
      <c r="I20" s="125"/>
      <c r="J20" s="46"/>
      <c r="K20" s="6"/>
      <c r="L20" s="6"/>
      <c r="M20" s="6"/>
      <c r="N20" s="6"/>
      <c r="O20" s="6"/>
      <c r="P20" s="6"/>
      <c r="Q20" s="6"/>
    </row>
    <row r="21" spans="2:17" s="47" customFormat="1" ht="22" thickBot="1" x14ac:dyDescent="0.25">
      <c r="B21" s="40" t="s">
        <v>53</v>
      </c>
      <c r="C21" s="41" t="s">
        <v>15</v>
      </c>
      <c r="D21" s="42" t="s">
        <v>14</v>
      </c>
      <c r="E21" s="134">
        <v>46.338549999999998</v>
      </c>
      <c r="F21" s="49">
        <v>2300</v>
      </c>
      <c r="G21" s="51">
        <f t="shared" si="0"/>
        <v>106578.66499999999</v>
      </c>
      <c r="H21" s="45">
        <f t="shared" si="1"/>
        <v>2915.8537221355</v>
      </c>
      <c r="I21" s="125"/>
      <c r="J21" s="46"/>
      <c r="K21" s="6"/>
      <c r="L21" s="6"/>
      <c r="M21" s="6"/>
      <c r="N21" s="52"/>
      <c r="O21" s="6"/>
      <c r="P21" s="6"/>
      <c r="Q21" s="6"/>
    </row>
    <row r="22" spans="2:17" s="47" customFormat="1" ht="22" thickBot="1" x14ac:dyDescent="0.25">
      <c r="B22" s="40" t="s">
        <v>54</v>
      </c>
      <c r="C22" s="41" t="s">
        <v>16</v>
      </c>
      <c r="D22" s="42" t="s">
        <v>14</v>
      </c>
      <c r="E22" s="134">
        <v>130.51499999999999</v>
      </c>
      <c r="F22" s="54">
        <v>240</v>
      </c>
      <c r="G22" s="44">
        <f t="shared" si="0"/>
        <v>31323.599999999999</v>
      </c>
      <c r="H22" s="45">
        <f t="shared" si="1"/>
        <v>856.97297531999993</v>
      </c>
      <c r="I22" s="125"/>
      <c r="J22" s="46"/>
      <c r="K22" s="6"/>
      <c r="L22" s="6"/>
      <c r="M22" s="6"/>
      <c r="N22" s="48"/>
      <c r="O22" s="6"/>
      <c r="P22" s="6"/>
      <c r="Q22" s="6"/>
    </row>
    <row r="23" spans="2:17" s="47" customFormat="1" ht="22" thickBot="1" x14ac:dyDescent="0.25">
      <c r="B23" s="40" t="s">
        <v>55</v>
      </c>
      <c r="C23" s="41" t="s">
        <v>17</v>
      </c>
      <c r="D23" s="42" t="s">
        <v>5</v>
      </c>
      <c r="E23" s="134">
        <v>8</v>
      </c>
      <c r="F23" s="50">
        <v>195.5</v>
      </c>
      <c r="G23" s="44">
        <f t="shared" si="0"/>
        <v>1564</v>
      </c>
      <c r="H23" s="45">
        <f t="shared" si="1"/>
        <v>42.789006800000003</v>
      </c>
      <c r="I23" s="125"/>
      <c r="J23" s="46"/>
      <c r="K23" s="6"/>
      <c r="L23" s="6"/>
      <c r="M23" s="6"/>
      <c r="N23" s="6"/>
      <c r="O23" s="6"/>
      <c r="P23" s="6"/>
      <c r="Q23" s="6"/>
    </row>
    <row r="24" spans="2:17" s="47" customFormat="1" ht="22" thickBot="1" x14ac:dyDescent="0.25">
      <c r="B24" s="40" t="s">
        <v>56</v>
      </c>
      <c r="C24" s="41" t="s">
        <v>18</v>
      </c>
      <c r="D24" s="42" t="s">
        <v>5</v>
      </c>
      <c r="E24" s="134">
        <v>50</v>
      </c>
      <c r="F24" s="55">
        <v>109.42</v>
      </c>
      <c r="G24" s="44">
        <f t="shared" si="0"/>
        <v>5471</v>
      </c>
      <c r="H24" s="45">
        <f t="shared" si="1"/>
        <v>149.6794477</v>
      </c>
      <c r="I24" s="125"/>
      <c r="J24" s="46"/>
      <c r="K24" s="6"/>
      <c r="L24" s="6"/>
      <c r="M24" s="6"/>
      <c r="N24" s="6"/>
      <c r="O24" s="6"/>
      <c r="P24" s="6"/>
      <c r="Q24" s="6"/>
    </row>
    <row r="25" spans="2:17" s="47" customFormat="1" ht="22" thickBot="1" x14ac:dyDescent="0.25">
      <c r="B25" s="40" t="s">
        <v>57</v>
      </c>
      <c r="C25" s="41" t="s">
        <v>19</v>
      </c>
      <c r="D25" s="42" t="s">
        <v>20</v>
      </c>
      <c r="E25" s="134">
        <v>6</v>
      </c>
      <c r="F25" s="56">
        <v>500.42</v>
      </c>
      <c r="G25" s="51">
        <f t="shared" si="0"/>
        <v>3002.52</v>
      </c>
      <c r="H25" s="45">
        <f t="shared" si="1"/>
        <v>82.145043923999992</v>
      </c>
      <c r="I25" s="125"/>
      <c r="J25" s="46"/>
      <c r="K25" s="6"/>
      <c r="L25" s="6"/>
      <c r="M25" s="6"/>
      <c r="N25" s="6"/>
      <c r="O25" s="6"/>
      <c r="P25" s="6"/>
      <c r="Q25" s="6"/>
    </row>
    <row r="26" spans="2:17" s="47" customFormat="1" ht="22" thickBot="1" x14ac:dyDescent="0.25">
      <c r="B26" s="40" t="s">
        <v>58</v>
      </c>
      <c r="C26" s="41" t="s">
        <v>129</v>
      </c>
      <c r="D26" s="42" t="s">
        <v>0</v>
      </c>
      <c r="E26" s="134">
        <v>70</v>
      </c>
      <c r="F26" s="56">
        <v>132</v>
      </c>
      <c r="G26" s="44">
        <f t="shared" si="0"/>
        <v>9240</v>
      </c>
      <c r="H26" s="45">
        <f t="shared" si="1"/>
        <v>252.794388</v>
      </c>
      <c r="I26" s="125"/>
      <c r="J26" s="46"/>
      <c r="K26" s="6"/>
      <c r="L26" s="6"/>
      <c r="M26" s="6"/>
      <c r="N26" s="48"/>
      <c r="O26" s="6"/>
      <c r="P26" s="6"/>
      <c r="Q26" s="6"/>
    </row>
    <row r="27" spans="2:17" s="47" customFormat="1" ht="22" thickBot="1" x14ac:dyDescent="0.25">
      <c r="B27" s="40" t="s">
        <v>59</v>
      </c>
      <c r="C27" s="41" t="s">
        <v>21</v>
      </c>
      <c r="D27" s="42" t="s">
        <v>22</v>
      </c>
      <c r="E27" s="134">
        <v>30</v>
      </c>
      <c r="F27" s="57">
        <v>341</v>
      </c>
      <c r="G27" s="44">
        <f t="shared" si="0"/>
        <v>10230</v>
      </c>
      <c r="H27" s="45">
        <f t="shared" si="1"/>
        <v>279.879501</v>
      </c>
      <c r="I27" s="125"/>
      <c r="J27" s="46"/>
      <c r="K27" s="6"/>
      <c r="L27" s="6"/>
      <c r="M27" s="6"/>
      <c r="N27" s="6"/>
      <c r="O27" s="6"/>
      <c r="P27" s="6"/>
      <c r="Q27" s="6"/>
    </row>
    <row r="28" spans="2:17" s="47" customFormat="1" ht="22" thickBot="1" x14ac:dyDescent="0.25">
      <c r="B28" s="40" t="s">
        <v>60</v>
      </c>
      <c r="C28" s="41" t="s">
        <v>23</v>
      </c>
      <c r="D28" s="42" t="s">
        <v>24</v>
      </c>
      <c r="E28" s="85" t="s">
        <v>24</v>
      </c>
      <c r="F28" s="49">
        <v>274022</v>
      </c>
      <c r="G28" s="44">
        <v>150000</v>
      </c>
      <c r="H28" s="45">
        <f t="shared" si="1"/>
        <v>4103.8050000000003</v>
      </c>
      <c r="I28" s="125"/>
      <c r="J28" s="46"/>
      <c r="K28" s="6"/>
      <c r="L28" s="6"/>
      <c r="M28" s="6"/>
      <c r="N28" s="6"/>
      <c r="O28" s="6"/>
      <c r="P28" s="6"/>
      <c r="Q28" s="6"/>
    </row>
    <row r="29" spans="2:17" s="47" customFormat="1" ht="22" thickBot="1" x14ac:dyDescent="0.25">
      <c r="B29" s="40" t="s">
        <v>147</v>
      </c>
      <c r="C29" s="41" t="s">
        <v>25</v>
      </c>
      <c r="D29" s="42" t="s">
        <v>0</v>
      </c>
      <c r="E29" s="102">
        <v>2</v>
      </c>
      <c r="F29" s="58">
        <f>1600*4</f>
        <v>6400</v>
      </c>
      <c r="G29" s="44">
        <f t="shared" si="0"/>
        <v>12800</v>
      </c>
      <c r="H29" s="45">
        <f t="shared" si="1"/>
        <v>350.19135999999997</v>
      </c>
      <c r="I29" s="125"/>
      <c r="J29" s="46"/>
      <c r="K29" s="6"/>
      <c r="L29" s="6"/>
      <c r="M29" s="6"/>
      <c r="N29" s="6"/>
      <c r="O29" s="6"/>
      <c r="P29" s="6"/>
      <c r="Q29" s="6"/>
    </row>
    <row r="30" spans="2:17" s="47" customFormat="1" ht="22" thickBot="1" x14ac:dyDescent="0.25">
      <c r="B30" s="40" t="s">
        <v>148</v>
      </c>
      <c r="C30" s="41" t="s">
        <v>108</v>
      </c>
      <c r="D30" s="42" t="s">
        <v>24</v>
      </c>
      <c r="E30" s="85"/>
      <c r="F30" s="49">
        <v>22290</v>
      </c>
      <c r="G30" s="44">
        <f>F30</f>
        <v>22290</v>
      </c>
      <c r="H30" s="45">
        <f t="shared" si="1"/>
        <v>609.825423</v>
      </c>
      <c r="I30" s="125"/>
      <c r="J30" s="46"/>
      <c r="K30" s="6"/>
      <c r="L30" s="6"/>
      <c r="M30" s="6"/>
      <c r="N30" s="6"/>
      <c r="O30" s="6"/>
      <c r="P30" s="6"/>
      <c r="Q30" s="6"/>
    </row>
    <row r="31" spans="2:17" s="47" customFormat="1" ht="22" thickBot="1" x14ac:dyDescent="0.25">
      <c r="B31" s="40" t="s">
        <v>149</v>
      </c>
      <c r="C31" s="41" t="s">
        <v>135</v>
      </c>
      <c r="D31" s="42" t="s">
        <v>24</v>
      </c>
      <c r="E31" s="85" t="s">
        <v>24</v>
      </c>
      <c r="F31" s="59">
        <v>15000</v>
      </c>
      <c r="G31" s="44">
        <f>F31</f>
        <v>15000</v>
      </c>
      <c r="H31" s="91">
        <f t="shared" si="1"/>
        <v>410.38049999999998</v>
      </c>
      <c r="I31" s="126"/>
      <c r="J31" s="46"/>
      <c r="K31" s="60"/>
      <c r="L31" s="6"/>
      <c r="M31" s="6"/>
      <c r="N31" s="6"/>
      <c r="O31" s="6"/>
      <c r="P31" s="6"/>
      <c r="Q31" s="6"/>
    </row>
    <row r="32" spans="2:17" s="47" customFormat="1" ht="22" thickBot="1" x14ac:dyDescent="0.25">
      <c r="B32" s="40"/>
      <c r="C32" s="61" t="s">
        <v>68</v>
      </c>
      <c r="D32" s="62"/>
      <c r="E32" s="137"/>
      <c r="F32" s="63"/>
      <c r="G32" s="64">
        <f>SUM(G8:G31)</f>
        <v>1458561.3410096001</v>
      </c>
      <c r="H32" s="104">
        <f t="shared" si="1"/>
        <v>39904.342160279346</v>
      </c>
      <c r="I32" s="119">
        <f>H32/H94</f>
        <v>0.34001415226164605</v>
      </c>
      <c r="J32" s="65"/>
      <c r="K32" s="66"/>
      <c r="L32" s="66"/>
      <c r="M32" s="66"/>
      <c r="N32" s="66"/>
      <c r="O32" s="66"/>
      <c r="P32" s="6"/>
      <c r="Q32" s="6"/>
    </row>
    <row r="33" spans="2:17" s="47" customFormat="1" ht="22" thickBot="1" x14ac:dyDescent="0.25">
      <c r="B33" s="40">
        <v>1.2</v>
      </c>
      <c r="C33" s="67" t="s">
        <v>171</v>
      </c>
      <c r="D33" s="68"/>
      <c r="E33" s="138"/>
      <c r="F33" s="69"/>
      <c r="G33" s="70"/>
      <c r="H33" s="71"/>
      <c r="I33" s="127"/>
      <c r="J33" s="46"/>
      <c r="K33" s="6"/>
      <c r="L33" s="6"/>
      <c r="M33" s="6"/>
      <c r="N33" s="48"/>
      <c r="O33" s="6"/>
      <c r="P33" s="6"/>
      <c r="Q33" s="6"/>
    </row>
    <row r="34" spans="2:17" s="47" customFormat="1" ht="22" thickBot="1" x14ac:dyDescent="0.25">
      <c r="B34" s="40" t="s">
        <v>26</v>
      </c>
      <c r="C34" s="41" t="s">
        <v>61</v>
      </c>
      <c r="D34" s="62"/>
      <c r="E34" s="85" t="s">
        <v>24</v>
      </c>
      <c r="F34" s="72">
        <v>300000</v>
      </c>
      <c r="G34" s="73">
        <f>F34</f>
        <v>300000</v>
      </c>
      <c r="H34" s="91">
        <f t="shared" ref="H34:H36" si="2">G34*$L$2</f>
        <v>8207.61</v>
      </c>
      <c r="I34" s="125"/>
      <c r="J34" s="46"/>
      <c r="K34" s="74"/>
      <c r="L34" s="74"/>
      <c r="M34" s="6"/>
      <c r="N34" s="48"/>
      <c r="O34" s="6"/>
      <c r="P34" s="6"/>
      <c r="Q34" s="6"/>
    </row>
    <row r="35" spans="2:17" s="47" customFormat="1" ht="22" thickBot="1" x14ac:dyDescent="0.25">
      <c r="B35" s="40" t="s">
        <v>27</v>
      </c>
      <c r="C35" s="41" t="s">
        <v>30</v>
      </c>
      <c r="D35" s="62"/>
      <c r="E35" s="85" t="s">
        <v>24</v>
      </c>
      <c r="F35" s="75">
        <v>60000</v>
      </c>
      <c r="G35" s="73">
        <f>F35</f>
        <v>60000</v>
      </c>
      <c r="H35" s="91">
        <f t="shared" si="2"/>
        <v>1641.5219999999999</v>
      </c>
      <c r="I35" s="126"/>
      <c r="J35" s="46"/>
      <c r="K35" s="6"/>
      <c r="L35" s="6"/>
      <c r="M35" s="6"/>
      <c r="N35" s="6"/>
      <c r="O35" s="6"/>
      <c r="P35" s="6"/>
      <c r="Q35" s="6"/>
    </row>
    <row r="36" spans="2:17" s="47" customFormat="1" ht="22" thickBot="1" x14ac:dyDescent="0.25">
      <c r="B36" s="40"/>
      <c r="C36" s="61" t="s">
        <v>68</v>
      </c>
      <c r="D36" s="62"/>
      <c r="E36" s="40"/>
      <c r="F36" s="49"/>
      <c r="G36" s="64">
        <f>SUM(G34:G35)</f>
        <v>360000</v>
      </c>
      <c r="H36" s="104">
        <f t="shared" si="2"/>
        <v>9849.1319999999996</v>
      </c>
      <c r="I36" s="119">
        <f>H36/H94</f>
        <v>8.3921801142394961E-2</v>
      </c>
      <c r="J36" s="65"/>
      <c r="K36" s="66"/>
      <c r="L36" s="66"/>
      <c r="M36" s="66"/>
      <c r="N36" s="66"/>
      <c r="O36" s="66"/>
      <c r="P36" s="6"/>
      <c r="Q36" s="6"/>
    </row>
    <row r="37" spans="2:17" s="47" customFormat="1" ht="22" thickBot="1" x14ac:dyDescent="0.25">
      <c r="B37" s="40">
        <v>1.3</v>
      </c>
      <c r="C37" s="67" t="s">
        <v>62</v>
      </c>
      <c r="D37" s="68"/>
      <c r="E37" s="138"/>
      <c r="F37" s="69"/>
      <c r="G37" s="76"/>
      <c r="H37" s="71"/>
      <c r="I37" s="127"/>
      <c r="J37" s="46"/>
      <c r="K37" s="6"/>
      <c r="L37" s="6"/>
      <c r="M37" s="6"/>
      <c r="N37" s="6"/>
      <c r="O37" s="6"/>
      <c r="P37" s="6"/>
      <c r="Q37" s="6"/>
    </row>
    <row r="38" spans="2:17" s="47" customFormat="1" ht="22" thickBot="1" x14ac:dyDescent="0.25">
      <c r="B38" s="40" t="s">
        <v>28</v>
      </c>
      <c r="C38" s="77" t="s">
        <v>120</v>
      </c>
      <c r="D38" s="78" t="s">
        <v>107</v>
      </c>
      <c r="E38" s="40">
        <v>4</v>
      </c>
      <c r="F38" s="79">
        <f>20980+(20980*0.2)</f>
        <v>25176</v>
      </c>
      <c r="G38" s="50">
        <f>E38*F38</f>
        <v>100704</v>
      </c>
      <c r="H38" s="91">
        <f t="shared" ref="H38:H94" si="3">G38*$L$2</f>
        <v>2755.1305247999999</v>
      </c>
      <c r="I38" s="125"/>
      <c r="J38" s="46"/>
      <c r="K38" s="6"/>
      <c r="L38" s="6"/>
      <c r="M38" s="6"/>
      <c r="N38" s="6"/>
      <c r="O38" s="6"/>
      <c r="P38" s="6"/>
      <c r="Q38" s="6"/>
    </row>
    <row r="39" spans="2:17" s="47" customFormat="1" ht="22" thickBot="1" x14ac:dyDescent="0.25">
      <c r="B39" s="40" t="s">
        <v>29</v>
      </c>
      <c r="C39" s="41" t="s">
        <v>119</v>
      </c>
      <c r="D39" s="62" t="s">
        <v>107</v>
      </c>
      <c r="E39" s="40">
        <v>4</v>
      </c>
      <c r="F39" s="80">
        <f>16984+(16984*0.2)</f>
        <v>20380.8</v>
      </c>
      <c r="G39" s="50">
        <f t="shared" ref="G39:G44" si="4">E39*F39</f>
        <v>81523.199999999997</v>
      </c>
      <c r="H39" s="91">
        <f t="shared" si="3"/>
        <v>2230.3687718399997</v>
      </c>
      <c r="I39" s="125"/>
      <c r="J39" s="46"/>
      <c r="K39" s="6"/>
      <c r="L39" s="6"/>
      <c r="M39" s="6"/>
      <c r="N39" s="6"/>
      <c r="O39" s="6"/>
      <c r="P39" s="6"/>
      <c r="Q39" s="6"/>
    </row>
    <row r="40" spans="2:17" s="47" customFormat="1" ht="22" thickBot="1" x14ac:dyDescent="0.25">
      <c r="B40" s="40" t="s">
        <v>150</v>
      </c>
      <c r="C40" s="41" t="s">
        <v>121</v>
      </c>
      <c r="D40" s="62" t="s">
        <v>107</v>
      </c>
      <c r="E40" s="40">
        <v>4</v>
      </c>
      <c r="F40" s="80">
        <f>16830+(16830*0.2)</f>
        <v>20196</v>
      </c>
      <c r="G40" s="50">
        <f t="shared" si="4"/>
        <v>80784</v>
      </c>
      <c r="H40" s="91">
        <f t="shared" si="3"/>
        <v>2210.1452208000001</v>
      </c>
      <c r="I40" s="125"/>
      <c r="J40" s="46"/>
      <c r="K40" s="6"/>
      <c r="L40" s="6"/>
      <c r="M40" s="6"/>
      <c r="N40" s="6"/>
      <c r="O40" s="6"/>
      <c r="P40" s="6"/>
      <c r="Q40" s="6"/>
    </row>
    <row r="41" spans="2:17" s="47" customFormat="1" ht="22" thickBot="1" x14ac:dyDescent="0.25">
      <c r="B41" s="40" t="s">
        <v>64</v>
      </c>
      <c r="C41" s="41" t="s">
        <v>63</v>
      </c>
      <c r="D41" s="62" t="s">
        <v>107</v>
      </c>
      <c r="E41" s="40">
        <v>4</v>
      </c>
      <c r="F41" s="80">
        <v>12124</v>
      </c>
      <c r="G41" s="50">
        <f t="shared" si="4"/>
        <v>48496</v>
      </c>
      <c r="H41" s="91">
        <f t="shared" si="3"/>
        <v>1326.7875151999999</v>
      </c>
      <c r="I41" s="125"/>
      <c r="J41" s="46"/>
      <c r="K41" s="60"/>
      <c r="L41" s="60"/>
      <c r="M41" s="60"/>
      <c r="N41" s="60"/>
      <c r="O41" s="60"/>
      <c r="P41" s="6"/>
      <c r="Q41" s="6"/>
    </row>
    <row r="42" spans="2:17" s="47" customFormat="1" ht="22" thickBot="1" x14ac:dyDescent="0.25">
      <c r="B42" s="40" t="s">
        <v>65</v>
      </c>
      <c r="C42" s="41" t="s">
        <v>106</v>
      </c>
      <c r="D42" s="62" t="s">
        <v>107</v>
      </c>
      <c r="E42" s="40">
        <v>24</v>
      </c>
      <c r="F42" s="80">
        <v>10074</v>
      </c>
      <c r="G42" s="50">
        <f t="shared" si="4"/>
        <v>241776</v>
      </c>
      <c r="H42" s="91">
        <f t="shared" si="3"/>
        <v>6614.6770512000003</v>
      </c>
      <c r="I42" s="125"/>
      <c r="J42" s="46"/>
      <c r="K42" s="60"/>
      <c r="L42" s="60"/>
      <c r="M42" s="60"/>
      <c r="N42" s="60"/>
      <c r="O42" s="60"/>
      <c r="P42" s="6"/>
      <c r="Q42" s="6"/>
    </row>
    <row r="43" spans="2:17" s="47" customFormat="1" ht="22" thickBot="1" x14ac:dyDescent="0.25">
      <c r="B43" s="40" t="s">
        <v>66</v>
      </c>
      <c r="C43" s="41" t="s">
        <v>151</v>
      </c>
      <c r="D43" s="62" t="s">
        <v>107</v>
      </c>
      <c r="E43" s="139">
        <v>4</v>
      </c>
      <c r="F43" s="80">
        <v>9765</v>
      </c>
      <c r="G43" s="50">
        <f t="shared" si="4"/>
        <v>39060</v>
      </c>
      <c r="H43" s="91">
        <f t="shared" si="3"/>
        <v>1068.6308220000001</v>
      </c>
      <c r="I43" s="125"/>
      <c r="J43" s="46"/>
      <c r="K43" s="60"/>
      <c r="L43" s="60"/>
      <c r="M43" s="60"/>
      <c r="N43" s="60"/>
      <c r="O43" s="60"/>
      <c r="P43" s="6"/>
      <c r="Q43" s="6"/>
    </row>
    <row r="44" spans="2:17" s="47" customFormat="1" ht="22" thickBot="1" x14ac:dyDescent="0.25">
      <c r="B44" s="40" t="s">
        <v>105</v>
      </c>
      <c r="C44" s="41" t="s">
        <v>67</v>
      </c>
      <c r="D44" s="62" t="s">
        <v>152</v>
      </c>
      <c r="E44" s="139">
        <v>4</v>
      </c>
      <c r="F44" s="80">
        <v>10000</v>
      </c>
      <c r="G44" s="50">
        <f t="shared" si="4"/>
        <v>40000</v>
      </c>
      <c r="H44" s="91">
        <f t="shared" si="3"/>
        <v>1094.348</v>
      </c>
      <c r="I44" s="125"/>
      <c r="J44" s="46"/>
      <c r="K44" s="60"/>
      <c r="L44" s="60"/>
      <c r="M44" s="60"/>
      <c r="N44" s="60"/>
      <c r="O44" s="60"/>
      <c r="P44" s="6"/>
      <c r="Q44" s="6"/>
    </row>
    <row r="45" spans="2:17" s="47" customFormat="1" ht="22" thickBot="1" x14ac:dyDescent="0.25">
      <c r="B45" s="40"/>
      <c r="C45" s="61" t="s">
        <v>68</v>
      </c>
      <c r="D45" s="81"/>
      <c r="E45" s="140"/>
      <c r="F45" s="82"/>
      <c r="G45" s="83">
        <f>SUM(G38:G44)</f>
        <v>632343.19999999995</v>
      </c>
      <c r="H45" s="104">
        <f t="shared" si="3"/>
        <v>17300.087905839999</v>
      </c>
      <c r="I45" s="9"/>
      <c r="J45" s="65"/>
      <c r="K45" s="66"/>
      <c r="L45" s="66"/>
      <c r="M45" s="66"/>
      <c r="N45" s="66"/>
      <c r="O45" s="66"/>
      <c r="P45" s="6"/>
      <c r="Q45" s="6"/>
    </row>
    <row r="46" spans="2:17" s="47" customFormat="1" ht="22" thickBot="1" x14ac:dyDescent="0.25">
      <c r="B46" s="84">
        <v>1.4</v>
      </c>
      <c r="C46" s="67" t="s">
        <v>69</v>
      </c>
      <c r="D46" s="68"/>
      <c r="E46" s="138"/>
      <c r="F46" s="69"/>
      <c r="G46" s="76"/>
      <c r="H46" s="131"/>
      <c r="I46" s="125"/>
      <c r="J46" s="46"/>
      <c r="K46" s="6"/>
      <c r="L46" s="6"/>
      <c r="M46" s="6"/>
      <c r="N46" s="6"/>
      <c r="O46" s="6"/>
      <c r="P46" s="6"/>
      <c r="Q46" s="6"/>
    </row>
    <row r="47" spans="2:17" s="47" customFormat="1" ht="22" thickBot="1" x14ac:dyDescent="0.25">
      <c r="B47" s="40" t="s">
        <v>31</v>
      </c>
      <c r="C47" s="41" t="s">
        <v>70</v>
      </c>
      <c r="D47" s="62" t="s">
        <v>107</v>
      </c>
      <c r="E47" s="40">
        <v>2</v>
      </c>
      <c r="F47" s="49">
        <v>4430</v>
      </c>
      <c r="G47" s="50">
        <f t="shared" ref="G47" si="5">E47*F47</f>
        <v>8860</v>
      </c>
      <c r="H47" s="91">
        <f t="shared" si="3"/>
        <v>242.39808199999999</v>
      </c>
      <c r="I47" s="125"/>
      <c r="J47" s="46"/>
      <c r="K47" s="6"/>
      <c r="L47" s="6"/>
      <c r="M47" s="6"/>
      <c r="N47" s="6"/>
      <c r="O47" s="6"/>
      <c r="P47" s="6"/>
      <c r="Q47" s="6"/>
    </row>
    <row r="48" spans="2:17" s="47" customFormat="1" ht="22" thickBot="1" x14ac:dyDescent="0.25">
      <c r="B48" s="40" t="s">
        <v>32</v>
      </c>
      <c r="C48" s="41" t="s">
        <v>71</v>
      </c>
      <c r="D48" s="42" t="s">
        <v>24</v>
      </c>
      <c r="E48" s="85" t="s">
        <v>24</v>
      </c>
      <c r="F48" s="49">
        <v>40000</v>
      </c>
      <c r="G48" s="50">
        <f>F48</f>
        <v>40000</v>
      </c>
      <c r="H48" s="91">
        <f t="shared" si="3"/>
        <v>1094.348</v>
      </c>
      <c r="I48" s="125"/>
      <c r="J48" s="46"/>
      <c r="K48" s="6"/>
      <c r="L48" s="6"/>
      <c r="M48" s="6"/>
      <c r="N48" s="6"/>
      <c r="O48" s="6"/>
      <c r="P48" s="6"/>
      <c r="Q48" s="6"/>
    </row>
    <row r="49" spans="2:33" s="47" customFormat="1" ht="22" thickBot="1" x14ac:dyDescent="0.25">
      <c r="B49" s="40" t="s">
        <v>33</v>
      </c>
      <c r="C49" s="41" t="s">
        <v>72</v>
      </c>
      <c r="D49" s="42" t="s">
        <v>24</v>
      </c>
      <c r="E49" s="85" t="s">
        <v>24</v>
      </c>
      <c r="F49" s="85" t="s">
        <v>24</v>
      </c>
      <c r="G49" s="50">
        <v>270000</v>
      </c>
      <c r="H49" s="91">
        <f t="shared" si="3"/>
        <v>7386.8490000000002</v>
      </c>
      <c r="I49" s="125"/>
      <c r="J49" s="46"/>
      <c r="K49" s="6"/>
      <c r="L49" s="6"/>
      <c r="M49" s="6"/>
      <c r="N49" s="6"/>
      <c r="O49" s="6"/>
      <c r="P49" s="6"/>
      <c r="Q49" s="6"/>
    </row>
    <row r="50" spans="2:33" s="47" customFormat="1" ht="59.25" customHeight="1" thickBot="1" x14ac:dyDescent="0.25">
      <c r="B50" s="40" t="s">
        <v>34</v>
      </c>
      <c r="C50" s="77" t="s">
        <v>115</v>
      </c>
      <c r="D50" s="62" t="s">
        <v>107</v>
      </c>
      <c r="E50" s="40">
        <v>24</v>
      </c>
      <c r="F50" s="49">
        <v>13500</v>
      </c>
      <c r="G50" s="50">
        <f>(12*F50)+(12*F50*0.5)</f>
        <v>243000</v>
      </c>
      <c r="H50" s="91">
        <f t="shared" si="3"/>
        <v>6648.1641</v>
      </c>
      <c r="I50" s="125"/>
      <c r="J50" s="46"/>
      <c r="K50" s="6"/>
      <c r="L50" s="6"/>
      <c r="M50" s="6"/>
      <c r="N50" s="6"/>
      <c r="O50" s="6"/>
      <c r="P50" s="6"/>
      <c r="Q50" s="6"/>
    </row>
    <row r="51" spans="2:33" s="47" customFormat="1" ht="22" thickBot="1" x14ac:dyDescent="0.25">
      <c r="B51" s="40" t="s">
        <v>73</v>
      </c>
      <c r="C51" s="77" t="s">
        <v>138</v>
      </c>
      <c r="D51" s="42" t="s">
        <v>24</v>
      </c>
      <c r="E51" s="85" t="s">
        <v>24</v>
      </c>
      <c r="F51" s="49"/>
      <c r="G51" s="50">
        <v>18000</v>
      </c>
      <c r="H51" s="91">
        <f t="shared" si="3"/>
        <v>492.45659999999998</v>
      </c>
      <c r="I51" s="125"/>
      <c r="J51" s="46"/>
      <c r="K51" s="6"/>
      <c r="L51" s="6"/>
      <c r="M51" s="6"/>
      <c r="N51" s="6"/>
      <c r="O51" s="6"/>
      <c r="P51" s="6"/>
      <c r="Q51" s="6"/>
    </row>
    <row r="52" spans="2:33" s="47" customFormat="1" ht="22" thickBot="1" x14ac:dyDescent="0.25">
      <c r="B52" s="40"/>
      <c r="C52" s="61" t="s">
        <v>68</v>
      </c>
      <c r="D52" s="62"/>
      <c r="E52" s="40"/>
      <c r="F52" s="49"/>
      <c r="G52" s="83">
        <f>SUM(G47:G51)</f>
        <v>579860</v>
      </c>
      <c r="H52" s="104">
        <f t="shared" si="3"/>
        <v>15864.215781999999</v>
      </c>
      <c r="I52" s="120"/>
      <c r="J52" s="65"/>
      <c r="K52" s="66"/>
      <c r="L52" s="66"/>
      <c r="M52" s="66"/>
      <c r="N52" s="66"/>
      <c r="O52" s="66"/>
      <c r="P52" s="6"/>
      <c r="Q52" s="6"/>
    </row>
    <row r="53" spans="2:33" s="47" customFormat="1" ht="22" thickBot="1" x14ac:dyDescent="0.25">
      <c r="B53" s="40"/>
      <c r="C53" s="61" t="s">
        <v>166</v>
      </c>
      <c r="D53" s="62"/>
      <c r="E53" s="40"/>
      <c r="F53" s="49"/>
      <c r="G53" s="83">
        <f>G52+G45</f>
        <v>1212203.2</v>
      </c>
      <c r="H53" s="104">
        <f t="shared" si="3"/>
        <v>33164.303687840002</v>
      </c>
      <c r="I53" s="119">
        <f>H53/H94</f>
        <v>0.28258409970715231</v>
      </c>
      <c r="J53" s="65"/>
      <c r="K53" s="66"/>
      <c r="L53" s="66"/>
      <c r="M53" s="66"/>
      <c r="N53" s="66"/>
      <c r="O53" s="66"/>
      <c r="P53" s="6"/>
      <c r="Q53" s="6"/>
    </row>
    <row r="54" spans="2:33" s="47" customFormat="1" ht="22" thickBot="1" x14ac:dyDescent="0.25">
      <c r="B54" s="40"/>
      <c r="C54" s="67" t="s">
        <v>125</v>
      </c>
      <c r="D54" s="68"/>
      <c r="E54" s="138"/>
      <c r="F54" s="69"/>
      <c r="G54" s="76"/>
      <c r="H54" s="131"/>
      <c r="I54" s="127"/>
      <c r="J54" s="46"/>
      <c r="K54" s="6"/>
      <c r="L54" s="6"/>
      <c r="M54" s="6"/>
      <c r="N54" s="6"/>
      <c r="O54" s="6"/>
      <c r="P54" s="6"/>
      <c r="Q54" s="6"/>
    </row>
    <row r="55" spans="2:33" s="47" customFormat="1" ht="22" thickBot="1" x14ac:dyDescent="0.25">
      <c r="B55" s="84">
        <v>1.5</v>
      </c>
      <c r="C55" s="67" t="s">
        <v>126</v>
      </c>
      <c r="D55" s="68"/>
      <c r="E55" s="138"/>
      <c r="F55" s="69"/>
      <c r="G55" s="76"/>
      <c r="H55" s="91"/>
      <c r="I55" s="125"/>
      <c r="J55" s="46"/>
      <c r="K55" s="6"/>
      <c r="L55" s="6"/>
      <c r="M55" s="52"/>
      <c r="N55" s="6"/>
      <c r="O55" s="6"/>
      <c r="P55" s="6"/>
      <c r="Q55" s="6"/>
    </row>
    <row r="56" spans="2:33" s="47" customFormat="1" ht="22" thickBot="1" x14ac:dyDescent="0.25">
      <c r="B56" s="84" t="s">
        <v>74</v>
      </c>
      <c r="C56" s="77" t="s">
        <v>75</v>
      </c>
      <c r="D56" s="42" t="s">
        <v>24</v>
      </c>
      <c r="E56" s="85" t="s">
        <v>24</v>
      </c>
      <c r="F56" s="49">
        <v>4000</v>
      </c>
      <c r="G56" s="50">
        <v>4000</v>
      </c>
      <c r="H56" s="91">
        <f t="shared" si="3"/>
        <v>109.4348</v>
      </c>
      <c r="I56" s="125"/>
      <c r="J56" s="46"/>
      <c r="K56" s="60"/>
      <c r="L56" s="6"/>
      <c r="M56" s="6"/>
      <c r="N56" s="6"/>
      <c r="O56" s="6"/>
      <c r="P56" s="6"/>
      <c r="Q56" s="86"/>
      <c r="R56" s="87"/>
      <c r="S56" s="6"/>
      <c r="T56" s="6"/>
      <c r="U56" s="88"/>
      <c r="V56" s="88"/>
      <c r="W56" s="60"/>
      <c r="X56" s="60"/>
      <c r="Y56" s="6"/>
      <c r="Z56" s="6"/>
      <c r="AA56" s="6"/>
      <c r="AB56" s="6"/>
      <c r="AC56" s="6"/>
      <c r="AD56" s="6"/>
      <c r="AE56" s="6"/>
      <c r="AF56" s="6"/>
      <c r="AG56" s="6"/>
    </row>
    <row r="57" spans="2:33" s="47" customFormat="1" ht="21" customHeight="1" thickBot="1" x14ac:dyDescent="0.25">
      <c r="B57" s="84" t="s">
        <v>76</v>
      </c>
      <c r="C57" s="77" t="s">
        <v>78</v>
      </c>
      <c r="D57" s="42" t="s">
        <v>24</v>
      </c>
      <c r="E57" s="85" t="s">
        <v>24</v>
      </c>
      <c r="F57" s="49">
        <v>3000</v>
      </c>
      <c r="G57" s="50">
        <v>3000</v>
      </c>
      <c r="H57" s="91">
        <f t="shared" si="3"/>
        <v>82.076099999999997</v>
      </c>
      <c r="I57" s="125"/>
      <c r="J57" s="46"/>
      <c r="K57" s="60"/>
      <c r="L57" s="6"/>
      <c r="M57" s="6"/>
      <c r="N57" s="48"/>
      <c r="O57" s="6"/>
      <c r="P57" s="6"/>
      <c r="Q57" s="6"/>
    </row>
    <row r="58" spans="2:33" s="47" customFormat="1" ht="40" customHeight="1" thickBot="1" x14ac:dyDescent="0.25">
      <c r="B58" s="84" t="s">
        <v>77</v>
      </c>
      <c r="C58" s="77" t="s">
        <v>80</v>
      </c>
      <c r="D58" s="42" t="s">
        <v>24</v>
      </c>
      <c r="E58" s="85" t="s">
        <v>24</v>
      </c>
      <c r="F58" s="49">
        <v>18300</v>
      </c>
      <c r="G58" s="50">
        <v>18300</v>
      </c>
      <c r="H58" s="91">
        <f t="shared" si="3"/>
        <v>500.66420999999997</v>
      </c>
      <c r="I58" s="125"/>
      <c r="J58" s="46"/>
      <c r="K58" s="60"/>
      <c r="L58" s="6"/>
      <c r="M58" s="6"/>
      <c r="N58" s="48"/>
      <c r="O58" s="6"/>
      <c r="P58" s="6"/>
      <c r="Q58" s="6"/>
    </row>
    <row r="59" spans="2:33" s="47" customFormat="1" ht="22" thickBot="1" x14ac:dyDescent="0.25">
      <c r="B59" s="84" t="s">
        <v>79</v>
      </c>
      <c r="C59" s="41" t="s">
        <v>178</v>
      </c>
      <c r="D59" s="42" t="s">
        <v>24</v>
      </c>
      <c r="E59" s="85" t="s">
        <v>24</v>
      </c>
      <c r="F59" s="49">
        <v>2600</v>
      </c>
      <c r="G59" s="50">
        <v>2600</v>
      </c>
      <c r="H59" s="91">
        <f t="shared" si="3"/>
        <v>71.132620000000003</v>
      </c>
      <c r="I59" s="125"/>
      <c r="J59" s="46"/>
      <c r="K59" s="60"/>
      <c r="L59" s="6"/>
      <c r="M59" s="6"/>
      <c r="N59" s="6"/>
      <c r="O59" s="6"/>
      <c r="P59" s="6"/>
      <c r="Q59" s="6"/>
    </row>
    <row r="60" spans="2:33" s="47" customFormat="1" ht="27" customHeight="1" thickBot="1" x14ac:dyDescent="0.25">
      <c r="B60" s="84" t="s">
        <v>81</v>
      </c>
      <c r="C60" s="77" t="s">
        <v>139</v>
      </c>
      <c r="D60" s="42" t="s">
        <v>24</v>
      </c>
      <c r="E60" s="85" t="s">
        <v>24</v>
      </c>
      <c r="F60" s="49">
        <v>303000</v>
      </c>
      <c r="G60" s="50">
        <f>F60</f>
        <v>303000</v>
      </c>
      <c r="H60" s="91">
        <f t="shared" si="3"/>
        <v>8289.6861000000008</v>
      </c>
      <c r="I60" s="125"/>
      <c r="J60" s="88"/>
      <c r="K60" s="60"/>
      <c r="L60" s="60"/>
      <c r="M60" s="6"/>
      <c r="N60" s="89"/>
      <c r="O60" s="6"/>
      <c r="P60" s="6"/>
      <c r="Q60" s="6"/>
    </row>
    <row r="61" spans="2:33" s="47" customFormat="1" ht="22" thickBot="1" x14ac:dyDescent="0.25">
      <c r="B61" s="84" t="s">
        <v>124</v>
      </c>
      <c r="C61" s="77" t="s">
        <v>130</v>
      </c>
      <c r="D61" s="42" t="s">
        <v>24</v>
      </c>
      <c r="E61" s="85" t="s">
        <v>24</v>
      </c>
      <c r="F61" s="49">
        <v>100000</v>
      </c>
      <c r="G61" s="50">
        <v>100000</v>
      </c>
      <c r="H61" s="91">
        <f t="shared" si="3"/>
        <v>2735.87</v>
      </c>
      <c r="I61" s="126"/>
      <c r="J61" s="46"/>
      <c r="K61" s="60"/>
      <c r="L61" s="74"/>
      <c r="M61" s="74"/>
      <c r="N61" s="74"/>
      <c r="O61" s="74"/>
      <c r="P61" s="6"/>
      <c r="Q61" s="6"/>
    </row>
    <row r="62" spans="2:33" s="47" customFormat="1" ht="22" thickBot="1" x14ac:dyDescent="0.25">
      <c r="B62" s="84"/>
      <c r="C62" s="61" t="s">
        <v>68</v>
      </c>
      <c r="D62" s="68"/>
      <c r="E62" s="138"/>
      <c r="F62" s="69"/>
      <c r="G62" s="83">
        <f>SUM(G56:G61)</f>
        <v>430900</v>
      </c>
      <c r="H62" s="104">
        <f t="shared" si="3"/>
        <v>11788.86383</v>
      </c>
      <c r="I62" s="119">
        <f>H62/H94</f>
        <v>0.10044973364516108</v>
      </c>
      <c r="J62" s="65"/>
      <c r="K62" s="66"/>
      <c r="L62" s="66"/>
      <c r="M62" s="66"/>
      <c r="N62" s="66"/>
      <c r="O62" s="66"/>
      <c r="P62" s="6"/>
      <c r="Q62" s="6"/>
    </row>
    <row r="63" spans="2:33" s="47" customFormat="1" ht="22" thickBot="1" x14ac:dyDescent="0.25">
      <c r="B63" s="40"/>
      <c r="C63" s="67" t="s">
        <v>177</v>
      </c>
      <c r="D63" s="68"/>
      <c r="E63" s="138"/>
      <c r="F63" s="69"/>
      <c r="G63" s="83">
        <f>G62+G52+G45+G36+G32</f>
        <v>3461664.5410096003</v>
      </c>
      <c r="H63" s="104">
        <f t="shared" si="3"/>
        <v>94706.641678119355</v>
      </c>
      <c r="I63" s="128"/>
      <c r="J63" s="65"/>
      <c r="K63" s="66"/>
      <c r="L63" s="66"/>
      <c r="M63" s="66"/>
      <c r="N63" s="66"/>
      <c r="O63" s="66"/>
      <c r="P63" s="6"/>
      <c r="Q63" s="6"/>
    </row>
    <row r="64" spans="2:33" s="47" customFormat="1" ht="22" thickBot="1" x14ac:dyDescent="0.25">
      <c r="B64" s="40">
        <v>2</v>
      </c>
      <c r="C64" s="61" t="s">
        <v>167</v>
      </c>
      <c r="D64" s="81"/>
      <c r="E64" s="140"/>
      <c r="F64" s="82"/>
      <c r="G64" s="50"/>
      <c r="H64" s="131"/>
      <c r="I64" s="125"/>
      <c r="J64" s="46"/>
      <c r="K64" s="6"/>
      <c r="L64" s="6"/>
      <c r="M64" s="6"/>
      <c r="N64" s="6"/>
      <c r="O64" s="6"/>
      <c r="P64" s="6"/>
      <c r="Q64" s="6"/>
    </row>
    <row r="65" spans="2:17" s="47" customFormat="1" ht="22" thickBot="1" x14ac:dyDescent="0.25">
      <c r="B65" s="84">
        <v>2.1</v>
      </c>
      <c r="C65" s="67" t="s">
        <v>82</v>
      </c>
      <c r="D65" s="68"/>
      <c r="E65" s="138"/>
      <c r="F65" s="69"/>
      <c r="G65" s="50"/>
      <c r="H65" s="91"/>
      <c r="I65" s="125"/>
      <c r="J65" s="46"/>
      <c r="K65" s="6"/>
      <c r="L65" s="6"/>
      <c r="M65" s="6"/>
      <c r="N65" s="92"/>
      <c r="O65" s="6"/>
      <c r="P65" s="6"/>
      <c r="Q65" s="6"/>
    </row>
    <row r="66" spans="2:17" s="47" customFormat="1" ht="22" thickBot="1" x14ac:dyDescent="0.25">
      <c r="B66" s="84" t="s">
        <v>83</v>
      </c>
      <c r="C66" s="77" t="s">
        <v>84</v>
      </c>
      <c r="D66" s="78" t="s">
        <v>85</v>
      </c>
      <c r="E66" s="40">
        <v>4</v>
      </c>
      <c r="F66" s="93">
        <f>48384+(48384*0.2)</f>
        <v>58060.800000000003</v>
      </c>
      <c r="G66" s="94">
        <f>E66*F66</f>
        <v>232243.20000000001</v>
      </c>
      <c r="H66" s="91">
        <f t="shared" si="3"/>
        <v>6353.8720358400005</v>
      </c>
      <c r="I66" s="125"/>
      <c r="J66" s="46"/>
      <c r="K66" s="6"/>
      <c r="L66" s="6"/>
      <c r="M66" s="6"/>
      <c r="N66" s="6"/>
      <c r="O66" s="6"/>
      <c r="P66" s="6"/>
      <c r="Q66" s="6"/>
    </row>
    <row r="67" spans="2:17" s="47" customFormat="1" ht="22" thickBot="1" x14ac:dyDescent="0.25">
      <c r="B67" s="84" t="s">
        <v>86</v>
      </c>
      <c r="C67" s="77" t="s">
        <v>87</v>
      </c>
      <c r="D67" s="78" t="s">
        <v>85</v>
      </c>
      <c r="E67" s="40">
        <v>4</v>
      </c>
      <c r="F67" s="4">
        <f>14320+(14320*0.2)</f>
        <v>17184</v>
      </c>
      <c r="G67" s="94">
        <f t="shared" ref="G67:G68" si="6">E67*F67</f>
        <v>68736</v>
      </c>
      <c r="H67" s="91">
        <f t="shared" si="3"/>
        <v>1880.5276031999999</v>
      </c>
      <c r="I67" s="125"/>
      <c r="J67" s="46"/>
      <c r="K67" s="6"/>
      <c r="L67" s="6"/>
      <c r="M67" s="6"/>
      <c r="N67" s="92"/>
      <c r="O67" s="6"/>
      <c r="P67" s="6"/>
      <c r="Q67" s="6"/>
    </row>
    <row r="68" spans="2:17" s="47" customFormat="1" ht="22" thickBot="1" x14ac:dyDescent="0.25">
      <c r="B68" s="84" t="s">
        <v>88</v>
      </c>
      <c r="C68" s="77" t="s">
        <v>89</v>
      </c>
      <c r="D68" s="78" t="s">
        <v>85</v>
      </c>
      <c r="E68" s="40">
        <v>4</v>
      </c>
      <c r="F68" s="4">
        <f>11741+(11741*0.2)</f>
        <v>14089.2</v>
      </c>
      <c r="G68" s="94">
        <f t="shared" si="6"/>
        <v>56356.800000000003</v>
      </c>
      <c r="H68" s="91">
        <f t="shared" si="3"/>
        <v>1541.8487841600002</v>
      </c>
      <c r="I68" s="125"/>
      <c r="J68" s="46"/>
      <c r="K68" s="6"/>
      <c r="L68" s="6"/>
      <c r="M68" s="6"/>
      <c r="N68" s="6"/>
      <c r="O68" s="6"/>
      <c r="P68" s="6"/>
      <c r="Q68" s="6"/>
    </row>
    <row r="69" spans="2:17" s="47" customFormat="1" ht="22" thickBot="1" x14ac:dyDescent="0.25">
      <c r="B69" s="84" t="s">
        <v>122</v>
      </c>
      <c r="C69" s="95" t="s">
        <v>136</v>
      </c>
      <c r="D69" s="78" t="s">
        <v>85</v>
      </c>
      <c r="E69" s="40">
        <v>4</v>
      </c>
      <c r="F69" s="96">
        <f>7260+(7260*0.2)</f>
        <v>8712</v>
      </c>
      <c r="G69" s="94">
        <f>E69*F69</f>
        <v>34848</v>
      </c>
      <c r="H69" s="91">
        <f t="shared" si="3"/>
        <v>953.39597760000004</v>
      </c>
      <c r="I69" s="125"/>
      <c r="J69" s="46"/>
      <c r="K69" s="6"/>
      <c r="L69" s="6"/>
      <c r="M69" s="6"/>
      <c r="N69" s="6"/>
      <c r="O69" s="6"/>
      <c r="P69" s="6"/>
      <c r="Q69" s="6"/>
    </row>
    <row r="70" spans="2:17" s="47" customFormat="1" ht="22" thickBot="1" x14ac:dyDescent="0.25">
      <c r="B70" s="84"/>
      <c r="C70" s="97" t="s">
        <v>68</v>
      </c>
      <c r="D70" s="68"/>
      <c r="E70" s="40"/>
      <c r="F70" s="90">
        <f>SUM(F66:F69)</f>
        <v>98046</v>
      </c>
      <c r="G70" s="98">
        <f>SUM(G66:G69)</f>
        <v>392184</v>
      </c>
      <c r="H70" s="104">
        <f t="shared" si="3"/>
        <v>10729.6444008</v>
      </c>
      <c r="I70" s="9"/>
      <c r="J70" s="99"/>
      <c r="K70" s="100"/>
      <c r="L70" s="100"/>
      <c r="M70" s="100"/>
      <c r="N70" s="100"/>
      <c r="O70" s="100"/>
      <c r="P70" s="6"/>
      <c r="Q70" s="6"/>
    </row>
    <row r="71" spans="2:17" s="47" customFormat="1" ht="22" thickBot="1" x14ac:dyDescent="0.25">
      <c r="B71" s="84">
        <v>2.2000000000000002</v>
      </c>
      <c r="C71" s="67" t="s">
        <v>174</v>
      </c>
      <c r="D71" s="78"/>
      <c r="E71" s="40"/>
      <c r="F71" s="4"/>
      <c r="G71" s="94"/>
      <c r="H71" s="131"/>
      <c r="I71" s="125"/>
      <c r="J71" s="46"/>
      <c r="K71" s="6"/>
      <c r="L71" s="6"/>
      <c r="M71" s="6"/>
      <c r="N71" s="6"/>
      <c r="O71" s="6"/>
      <c r="P71" s="6"/>
      <c r="Q71" s="6"/>
    </row>
    <row r="72" spans="2:17" s="47" customFormat="1" ht="22" thickBot="1" x14ac:dyDescent="0.25">
      <c r="B72" s="101" t="s">
        <v>153</v>
      </c>
      <c r="C72" s="77" t="s">
        <v>91</v>
      </c>
      <c r="D72" s="78" t="s">
        <v>85</v>
      </c>
      <c r="E72" s="40">
        <v>4</v>
      </c>
      <c r="F72" s="4">
        <f>7260+(7260*0.2)</f>
        <v>8712</v>
      </c>
      <c r="G72" s="94">
        <f t="shared" ref="G72:G74" si="7">E72*F72</f>
        <v>34848</v>
      </c>
      <c r="H72" s="91">
        <f t="shared" si="3"/>
        <v>953.39597760000004</v>
      </c>
      <c r="I72" s="125"/>
      <c r="J72" s="46"/>
      <c r="K72" s="6"/>
      <c r="L72" s="6"/>
      <c r="M72" s="6"/>
      <c r="N72" s="6"/>
      <c r="O72" s="6"/>
      <c r="P72" s="6"/>
      <c r="Q72" s="6"/>
    </row>
    <row r="73" spans="2:17" s="47" customFormat="1" ht="22" thickBot="1" x14ac:dyDescent="0.25">
      <c r="B73" s="101" t="s">
        <v>90</v>
      </c>
      <c r="C73" s="77" t="s">
        <v>92</v>
      </c>
      <c r="D73" s="78" t="s">
        <v>85</v>
      </c>
      <c r="E73" s="40">
        <v>4</v>
      </c>
      <c r="F73" s="4">
        <f>3390+(3390*0.2)</f>
        <v>4068</v>
      </c>
      <c r="G73" s="94">
        <f t="shared" si="7"/>
        <v>16272</v>
      </c>
      <c r="H73" s="91">
        <f t="shared" si="3"/>
        <v>445.18076639999998</v>
      </c>
      <c r="I73" s="125"/>
      <c r="J73" s="46"/>
      <c r="K73" s="6"/>
      <c r="L73" s="6"/>
      <c r="M73" s="6"/>
      <c r="N73" s="6"/>
      <c r="O73" s="6"/>
      <c r="P73" s="6"/>
      <c r="Q73" s="6"/>
    </row>
    <row r="74" spans="2:17" s="47" customFormat="1" ht="22" thickBot="1" x14ac:dyDescent="0.25">
      <c r="B74" s="101" t="s">
        <v>154</v>
      </c>
      <c r="C74" s="77" t="s">
        <v>93</v>
      </c>
      <c r="D74" s="78" t="s">
        <v>85</v>
      </c>
      <c r="E74" s="40">
        <v>4</v>
      </c>
      <c r="F74" s="4">
        <f>9879+(9879*0.2)</f>
        <v>11854.8</v>
      </c>
      <c r="G74" s="94">
        <f t="shared" si="7"/>
        <v>47419.199999999997</v>
      </c>
      <c r="H74" s="91">
        <f t="shared" si="3"/>
        <v>1297.3276670399998</v>
      </c>
      <c r="I74" s="125"/>
      <c r="J74" s="46"/>
      <c r="K74" s="6"/>
      <c r="L74" s="6"/>
      <c r="M74" s="6"/>
      <c r="N74" s="6"/>
      <c r="O74" s="6"/>
      <c r="P74" s="6"/>
      <c r="Q74" s="6"/>
    </row>
    <row r="75" spans="2:17" s="47" customFormat="1" ht="22" thickBot="1" x14ac:dyDescent="0.25">
      <c r="B75" s="84"/>
      <c r="C75" s="97" t="s">
        <v>68</v>
      </c>
      <c r="D75" s="78"/>
      <c r="E75" s="40"/>
      <c r="F75" s="90"/>
      <c r="G75" s="98">
        <f>SUM(G72:G74)</f>
        <v>98539.199999999997</v>
      </c>
      <c r="H75" s="91">
        <f t="shared" si="3"/>
        <v>2695.90441104</v>
      </c>
      <c r="I75" s="9"/>
      <c r="J75" s="99"/>
      <c r="K75" s="100"/>
      <c r="L75" s="100"/>
      <c r="M75" s="100"/>
      <c r="N75" s="100"/>
      <c r="O75" s="100"/>
      <c r="P75" s="6"/>
      <c r="Q75" s="6"/>
    </row>
    <row r="76" spans="2:17" s="47" customFormat="1" ht="22" thickBot="1" x14ac:dyDescent="0.25">
      <c r="B76" s="84"/>
      <c r="C76" s="67" t="s">
        <v>132</v>
      </c>
      <c r="D76" s="68"/>
      <c r="E76" s="40"/>
      <c r="F76" s="90"/>
      <c r="G76" s="98">
        <f>G75+G70</f>
        <v>490723.2</v>
      </c>
      <c r="H76" s="104">
        <f t="shared" si="3"/>
        <v>13425.548811840001</v>
      </c>
      <c r="I76" s="9"/>
      <c r="J76" s="99"/>
      <c r="K76" s="100"/>
      <c r="L76" s="100"/>
      <c r="M76" s="100"/>
      <c r="N76" s="100"/>
      <c r="O76" s="100"/>
      <c r="P76" s="6"/>
      <c r="Q76" s="6"/>
    </row>
    <row r="77" spans="2:17" s="47" customFormat="1" ht="22" thickBot="1" x14ac:dyDescent="0.25">
      <c r="B77" s="40">
        <v>2.2999999999999998</v>
      </c>
      <c r="C77" s="67" t="s">
        <v>123</v>
      </c>
      <c r="D77" s="68"/>
      <c r="E77" s="40"/>
      <c r="F77" s="90"/>
      <c r="G77" s="50"/>
      <c r="H77" s="131"/>
      <c r="I77" s="125"/>
      <c r="J77" s="46"/>
      <c r="K77" s="6"/>
      <c r="L77" s="6"/>
      <c r="M77" s="6"/>
      <c r="N77" s="6"/>
      <c r="O77" s="6"/>
      <c r="P77" s="6"/>
      <c r="Q77" s="6"/>
    </row>
    <row r="78" spans="2:17" s="47" customFormat="1" ht="22" thickBot="1" x14ac:dyDescent="0.25">
      <c r="B78" s="84" t="s">
        <v>94</v>
      </c>
      <c r="C78" s="77" t="s">
        <v>96</v>
      </c>
      <c r="D78" s="42" t="s">
        <v>24</v>
      </c>
      <c r="E78" s="40"/>
      <c r="F78" s="4">
        <v>40000</v>
      </c>
      <c r="G78" s="50">
        <f>F78</f>
        <v>40000</v>
      </c>
      <c r="H78" s="91">
        <f t="shared" si="3"/>
        <v>1094.348</v>
      </c>
      <c r="I78" s="125"/>
      <c r="J78" s="46"/>
      <c r="K78" s="60"/>
      <c r="L78" s="6"/>
      <c r="M78" s="6"/>
      <c r="N78" s="6"/>
      <c r="O78" s="6"/>
      <c r="P78" s="6"/>
      <c r="Q78" s="6"/>
    </row>
    <row r="79" spans="2:17" s="47" customFormat="1" ht="22" thickBot="1" x14ac:dyDescent="0.25">
      <c r="B79" s="84" t="s">
        <v>131</v>
      </c>
      <c r="C79" s="77" t="s">
        <v>97</v>
      </c>
      <c r="D79" s="78" t="s">
        <v>85</v>
      </c>
      <c r="E79" s="40">
        <v>4</v>
      </c>
      <c r="F79" s="4">
        <v>5000</v>
      </c>
      <c r="G79" s="94">
        <f t="shared" ref="G79:G80" si="8">E79*F79</f>
        <v>20000</v>
      </c>
      <c r="H79" s="91">
        <f t="shared" si="3"/>
        <v>547.17399999999998</v>
      </c>
      <c r="I79" s="125"/>
      <c r="J79" s="46"/>
      <c r="K79" s="60"/>
      <c r="L79" s="6"/>
      <c r="M79" s="6"/>
      <c r="N79" s="6"/>
      <c r="O79" s="6"/>
      <c r="P79" s="6"/>
      <c r="Q79" s="6"/>
    </row>
    <row r="80" spans="2:17" s="47" customFormat="1" ht="32.25" customHeight="1" thickBot="1" x14ac:dyDescent="0.25">
      <c r="B80" s="84" t="s">
        <v>155</v>
      </c>
      <c r="C80" s="77" t="s">
        <v>114</v>
      </c>
      <c r="D80" s="78" t="s">
        <v>85</v>
      </c>
      <c r="E80" s="40">
        <v>4</v>
      </c>
      <c r="F80" s="4">
        <v>2000</v>
      </c>
      <c r="G80" s="94">
        <f t="shared" si="8"/>
        <v>8000</v>
      </c>
      <c r="H80" s="91">
        <f t="shared" si="3"/>
        <v>218.86959999999999</v>
      </c>
      <c r="I80" s="125"/>
      <c r="J80" s="46"/>
      <c r="K80" s="60"/>
      <c r="L80" s="6"/>
      <c r="M80" s="6"/>
      <c r="N80" s="6"/>
      <c r="O80" s="6"/>
      <c r="P80" s="6"/>
      <c r="Q80" s="6"/>
    </row>
    <row r="81" spans="2:17" s="47" customFormat="1" ht="28.5" customHeight="1" thickBot="1" x14ac:dyDescent="0.25">
      <c r="B81" s="84" t="s">
        <v>156</v>
      </c>
      <c r="C81" s="77" t="s">
        <v>98</v>
      </c>
      <c r="D81" s="78" t="s">
        <v>85</v>
      </c>
      <c r="E81" s="40">
        <v>4</v>
      </c>
      <c r="F81" s="4">
        <v>10000</v>
      </c>
      <c r="G81" s="94">
        <f>E81*F81</f>
        <v>40000</v>
      </c>
      <c r="H81" s="91">
        <f t="shared" si="3"/>
        <v>1094.348</v>
      </c>
      <c r="I81" s="125"/>
      <c r="J81" s="46"/>
      <c r="K81" s="60"/>
      <c r="L81" s="6"/>
      <c r="M81" s="6"/>
      <c r="N81" s="6"/>
      <c r="O81" s="6"/>
      <c r="P81" s="6"/>
      <c r="Q81" s="6"/>
    </row>
    <row r="82" spans="2:17" s="47" customFormat="1" ht="22" thickBot="1" x14ac:dyDescent="0.25">
      <c r="B82" s="84" t="s">
        <v>157</v>
      </c>
      <c r="C82" s="77" t="s">
        <v>99</v>
      </c>
      <c r="D82" s="78" t="s">
        <v>85</v>
      </c>
      <c r="E82" s="40">
        <v>4</v>
      </c>
      <c r="F82" s="4">
        <v>15180</v>
      </c>
      <c r="G82" s="94">
        <f>E82*F82</f>
        <v>60720</v>
      </c>
      <c r="H82" s="91">
        <f t="shared" si="3"/>
        <v>1661.220264</v>
      </c>
      <c r="I82" s="125"/>
      <c r="J82" s="46"/>
      <c r="K82" s="60"/>
      <c r="L82" s="6"/>
      <c r="M82" s="6"/>
      <c r="N82" s="60"/>
      <c r="O82" s="6"/>
      <c r="P82" s="6"/>
      <c r="Q82" s="6"/>
    </row>
    <row r="83" spans="2:17" s="47" customFormat="1" ht="30.75" customHeight="1" thickBot="1" x14ac:dyDescent="0.25">
      <c r="B83" s="84" t="s">
        <v>158</v>
      </c>
      <c r="C83" s="77" t="s">
        <v>100</v>
      </c>
      <c r="D83" s="78"/>
      <c r="E83" s="40"/>
      <c r="F83" s="4">
        <v>10000</v>
      </c>
      <c r="G83" s="94">
        <v>10000</v>
      </c>
      <c r="H83" s="91">
        <f t="shared" si="3"/>
        <v>273.58699999999999</v>
      </c>
      <c r="I83" s="125"/>
      <c r="J83" s="46"/>
      <c r="K83" s="60"/>
      <c r="L83" s="6"/>
      <c r="M83" s="6"/>
      <c r="N83" s="6"/>
      <c r="O83" s="6"/>
      <c r="P83" s="6"/>
      <c r="Q83" s="6"/>
    </row>
    <row r="84" spans="2:17" s="47" customFormat="1" ht="30" customHeight="1" thickBot="1" x14ac:dyDescent="0.25">
      <c r="B84" s="84" t="s">
        <v>159</v>
      </c>
      <c r="C84" s="77" t="s">
        <v>101</v>
      </c>
      <c r="D84" s="78"/>
      <c r="E84" s="40"/>
      <c r="F84" s="4">
        <v>10000</v>
      </c>
      <c r="G84" s="94">
        <v>10000</v>
      </c>
      <c r="H84" s="91">
        <f t="shared" si="3"/>
        <v>273.58699999999999</v>
      </c>
      <c r="I84" s="125"/>
      <c r="J84" s="46"/>
      <c r="K84" s="60"/>
      <c r="L84" s="6"/>
      <c r="M84" s="6"/>
      <c r="N84" s="6"/>
      <c r="O84" s="6"/>
      <c r="P84" s="6"/>
      <c r="Q84" s="6"/>
    </row>
    <row r="85" spans="2:17" s="47" customFormat="1" ht="22" thickBot="1" x14ac:dyDescent="0.25">
      <c r="B85" s="84" t="s">
        <v>160</v>
      </c>
      <c r="C85" s="77" t="s">
        <v>102</v>
      </c>
      <c r="D85" s="78" t="s">
        <v>85</v>
      </c>
      <c r="E85" s="40">
        <v>12</v>
      </c>
      <c r="F85" s="4">
        <v>600</v>
      </c>
      <c r="G85" s="94">
        <f>E85*F85*0.5</f>
        <v>3600</v>
      </c>
      <c r="H85" s="91">
        <f t="shared" si="3"/>
        <v>98.491320000000002</v>
      </c>
      <c r="I85" s="125"/>
      <c r="J85" s="46"/>
      <c r="K85" s="60"/>
      <c r="L85" s="6"/>
      <c r="M85" s="6"/>
      <c r="N85" s="6"/>
      <c r="O85" s="6"/>
      <c r="P85" s="6"/>
      <c r="Q85" s="6"/>
    </row>
    <row r="86" spans="2:17" s="47" customFormat="1" ht="22" thickBot="1" x14ac:dyDescent="0.25">
      <c r="B86" s="84" t="s">
        <v>161</v>
      </c>
      <c r="C86" s="77" t="s">
        <v>103</v>
      </c>
      <c r="D86" s="42" t="s">
        <v>24</v>
      </c>
      <c r="E86" s="40"/>
      <c r="F86" s="4">
        <v>60000</v>
      </c>
      <c r="G86" s="94">
        <v>60000</v>
      </c>
      <c r="H86" s="91">
        <f t="shared" si="3"/>
        <v>1641.5219999999999</v>
      </c>
      <c r="I86" s="125"/>
      <c r="J86" s="46"/>
      <c r="K86" s="60"/>
      <c r="L86" s="6"/>
      <c r="M86" s="6"/>
      <c r="N86" s="6"/>
      <c r="O86" s="6"/>
      <c r="P86" s="6"/>
      <c r="Q86" s="6"/>
    </row>
    <row r="87" spans="2:17" s="47" customFormat="1" ht="22" thickBot="1" x14ac:dyDescent="0.25">
      <c r="B87" s="84" t="s">
        <v>162</v>
      </c>
      <c r="C87" s="41" t="s">
        <v>104</v>
      </c>
      <c r="D87" s="62"/>
      <c r="E87" s="40"/>
      <c r="F87" s="102">
        <v>10000</v>
      </c>
      <c r="G87" s="50">
        <f>F87</f>
        <v>10000</v>
      </c>
      <c r="H87" s="91">
        <f t="shared" si="3"/>
        <v>273.58699999999999</v>
      </c>
      <c r="I87" s="125"/>
      <c r="J87" s="46"/>
      <c r="K87" s="60"/>
      <c r="L87" s="6"/>
      <c r="M87" s="6"/>
      <c r="N87" s="6"/>
      <c r="O87" s="6"/>
    </row>
    <row r="88" spans="2:17" s="47" customFormat="1" ht="22" thickBot="1" x14ac:dyDescent="0.25">
      <c r="B88" s="41"/>
      <c r="C88" s="97" t="s">
        <v>68</v>
      </c>
      <c r="D88" s="81"/>
      <c r="E88" s="40"/>
      <c r="F88" s="103"/>
      <c r="G88" s="98">
        <f>SUM(G78:G87)</f>
        <v>262320</v>
      </c>
      <c r="H88" s="104">
        <f t="shared" si="3"/>
        <v>7176.7341839999999</v>
      </c>
      <c r="I88" s="9"/>
      <c r="J88" s="46"/>
      <c r="K88" s="60"/>
      <c r="L88" s="6"/>
      <c r="M88" s="6"/>
      <c r="N88" s="6"/>
      <c r="O88" s="6"/>
    </row>
    <row r="89" spans="2:17" s="47" customFormat="1" ht="22" thickBot="1" x14ac:dyDescent="0.25">
      <c r="B89" s="84">
        <v>2.4</v>
      </c>
      <c r="C89" s="67" t="s">
        <v>127</v>
      </c>
      <c r="D89" s="68"/>
      <c r="E89" s="40"/>
      <c r="F89" s="90"/>
      <c r="G89" s="50"/>
      <c r="H89" s="131"/>
      <c r="I89" s="9"/>
      <c r="J89" s="46"/>
      <c r="K89" s="60"/>
      <c r="L89" s="6"/>
      <c r="M89" s="6"/>
      <c r="N89" s="6"/>
      <c r="O89" s="6"/>
    </row>
    <row r="90" spans="2:17" s="47" customFormat="1" ht="29" customHeight="1" thickBot="1" x14ac:dyDescent="0.25">
      <c r="B90" s="84" t="s">
        <v>168</v>
      </c>
      <c r="C90" s="77" t="s">
        <v>128</v>
      </c>
      <c r="D90" s="42" t="s">
        <v>24</v>
      </c>
      <c r="E90" s="85" t="s">
        <v>24</v>
      </c>
      <c r="F90" s="49">
        <v>30000</v>
      </c>
      <c r="G90" s="50">
        <f>F90</f>
        <v>30000</v>
      </c>
      <c r="H90" s="91">
        <f t="shared" si="3"/>
        <v>820.76099999999997</v>
      </c>
      <c r="I90" s="9"/>
      <c r="J90" s="46"/>
      <c r="K90" s="60"/>
      <c r="L90" s="6"/>
      <c r="M90" s="6"/>
      <c r="N90" s="6"/>
      <c r="O90" s="6"/>
    </row>
    <row r="91" spans="2:17" s="47" customFormat="1" ht="22" thickBot="1" x14ac:dyDescent="0.25">
      <c r="B91" s="84" t="s">
        <v>169</v>
      </c>
      <c r="C91" s="77" t="s">
        <v>95</v>
      </c>
      <c r="D91" s="42" t="s">
        <v>24</v>
      </c>
      <c r="E91" s="85" t="s">
        <v>24</v>
      </c>
      <c r="F91" s="49">
        <v>45000</v>
      </c>
      <c r="G91" s="50">
        <f>F91</f>
        <v>45000</v>
      </c>
      <c r="H91" s="91">
        <f t="shared" si="3"/>
        <v>1231.1415</v>
      </c>
      <c r="I91" s="9"/>
      <c r="J91" s="46"/>
      <c r="K91" s="60"/>
      <c r="L91" s="6"/>
      <c r="M91" s="6"/>
      <c r="N91" s="6"/>
      <c r="O91" s="6"/>
    </row>
    <row r="92" spans="2:17" s="47" customFormat="1" ht="22" thickBot="1" x14ac:dyDescent="0.25">
      <c r="B92" s="40"/>
      <c r="C92" s="67" t="s">
        <v>68</v>
      </c>
      <c r="D92" s="42"/>
      <c r="E92" s="85"/>
      <c r="F92" s="49"/>
      <c r="G92" s="83">
        <f>SUM(G90:G91)</f>
        <v>75000</v>
      </c>
      <c r="H92" s="91">
        <f t="shared" si="3"/>
        <v>2051.9025000000001</v>
      </c>
      <c r="I92" s="9"/>
      <c r="J92" s="46"/>
      <c r="K92" s="60"/>
      <c r="L92" s="6"/>
      <c r="M92" s="6"/>
      <c r="N92" s="6"/>
      <c r="O92" s="6"/>
    </row>
    <row r="93" spans="2:17" s="47" customFormat="1" ht="22" thickBot="1" x14ac:dyDescent="0.25">
      <c r="B93" s="61"/>
      <c r="C93" s="116" t="s">
        <v>170</v>
      </c>
      <c r="D93" s="81"/>
      <c r="E93" s="40"/>
      <c r="F93" s="103"/>
      <c r="G93" s="98">
        <f>G70+G75+G88+G92</f>
        <v>828043.2</v>
      </c>
      <c r="H93" s="117">
        <f t="shared" si="3"/>
        <v>22654.18549584</v>
      </c>
      <c r="I93" s="9">
        <f>H93/H94</f>
        <v>0.1930302132436455</v>
      </c>
      <c r="J93" s="99"/>
      <c r="K93" s="100"/>
      <c r="L93" s="100"/>
      <c r="M93" s="100"/>
      <c r="N93" s="100"/>
      <c r="O93" s="100"/>
    </row>
    <row r="94" spans="2:17" s="47" customFormat="1" ht="22" thickBot="1" x14ac:dyDescent="0.25">
      <c r="B94" s="61"/>
      <c r="C94" s="67" t="s">
        <v>35</v>
      </c>
      <c r="D94" s="81"/>
      <c r="E94" s="40"/>
      <c r="F94" s="103"/>
      <c r="G94" s="98">
        <f>G93+G63</f>
        <v>4289707.7410096005</v>
      </c>
      <c r="H94" s="104">
        <f t="shared" si="3"/>
        <v>117360.82717395936</v>
      </c>
      <c r="I94" s="14">
        <f>SUM(I6:I93)</f>
        <v>0.99999999999999978</v>
      </c>
      <c r="J94" s="99"/>
      <c r="K94" s="100"/>
      <c r="L94" s="100"/>
      <c r="M94" s="100"/>
      <c r="N94" s="100"/>
      <c r="O94" s="100"/>
    </row>
    <row r="95" spans="2:17" s="47" customFormat="1" x14ac:dyDescent="0.2">
      <c r="B95" s="92"/>
      <c r="C95" s="105"/>
      <c r="D95" s="10"/>
      <c r="E95" s="141"/>
      <c r="F95" s="60"/>
      <c r="G95" s="106"/>
      <c r="H95" s="107"/>
      <c r="I95" s="10"/>
      <c r="J95" s="46"/>
      <c r="K95" s="6"/>
      <c r="L95" s="6"/>
      <c r="M95" s="6"/>
      <c r="N95" s="6"/>
      <c r="O95" s="6"/>
    </row>
    <row r="96" spans="2:17" x14ac:dyDescent="0.2">
      <c r="F96" s="108"/>
      <c r="I96" s="11"/>
      <c r="K96" s="110"/>
      <c r="L96" s="111"/>
    </row>
    <row r="97" spans="3:11" x14ac:dyDescent="0.2">
      <c r="F97" s="108"/>
      <c r="I97" s="11"/>
    </row>
    <row r="98" spans="3:11" x14ac:dyDescent="0.2">
      <c r="C98" s="112"/>
      <c r="H98" s="113"/>
      <c r="I98" s="118"/>
    </row>
    <row r="100" spans="3:11" x14ac:dyDescent="0.2">
      <c r="H100" s="114"/>
      <c r="I100" s="12"/>
      <c r="K100" s="115"/>
    </row>
    <row r="102" spans="3:11" x14ac:dyDescent="0.2">
      <c r="I102" s="12"/>
    </row>
  </sheetData>
  <phoneticPr fontId="3"/>
  <pageMargins left="0.7" right="0.7" top="0.75" bottom="0.75" header="0.3" footer="0.3"/>
  <pageSetup scale="36" fitToHeight="2" orientation="portrait" horizontalDpi="4294967293" vertic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Zala Dola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Hope;wosen</dc:creator>
  <cp:lastModifiedBy>Microsoft Office User</cp:lastModifiedBy>
  <cp:lastPrinted>2017-12-22T08:54:14Z</cp:lastPrinted>
  <dcterms:created xsi:type="dcterms:W3CDTF">2014-12-19T14:17:29Z</dcterms:created>
  <dcterms:modified xsi:type="dcterms:W3CDTF">2019-06-21T11:07:19Z</dcterms:modified>
</cp:coreProperties>
</file>