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GLOBAL GIVING USA 2020\"/>
    </mc:Choice>
  </mc:AlternateContent>
  <bookViews>
    <workbookView xWindow="0" yWindow="0" windowWidth="20490" windowHeight="7200" tabRatio="967" activeTab="6"/>
  </bookViews>
  <sheets>
    <sheet name="SCH" sheetId="38" r:id="rId1"/>
    <sheet name="RECAPITULATION" sheetId="35" r:id="rId2"/>
    <sheet name="LOCAL PER 3 CLASSES" sheetId="33" r:id="rId3"/>
    <sheet name="TEACHER'S ROOM, PRINCIPAL..." sheetId="36" r:id="rId4"/>
    <sheet name="LIBRARY" sheetId="37" r:id="rId5"/>
    <sheet name="MEUBELAIR" sheetId="40" r:id="rId6"/>
    <sheet name="Analysis" sheetId="2" r:id="rId7"/>
    <sheet name="Unit Price " sheetId="3" r:id="rId8"/>
  </sheets>
  <definedNames>
    <definedName name="_xlnm.Print_Area" localSheetId="6">Analysis!$A$1:$T$623</definedName>
    <definedName name="_xlnm.Print_Area" localSheetId="4">LIBRARY!$A$1:$G$211</definedName>
    <definedName name="_xlnm.Print_Area" localSheetId="2">'LOCAL PER 3 CLASSES'!$A$1:$G$210</definedName>
    <definedName name="_xlnm.Print_Area" localSheetId="1">RECAPITULATION!$A$1:$H$70</definedName>
    <definedName name="_xlnm.Print_Area" localSheetId="0">SCH!#REF!</definedName>
    <definedName name="_xlnm.Print_Area" localSheetId="3">'TEACHER''S ROOM, PRINCIPAL...'!$A$1:$G$230</definedName>
    <definedName name="_xlnm.Print_Area" localSheetId="7">'Unit Price '!$A$1:$F$147</definedName>
  </definedNames>
  <calcPr calcId="162913"/>
  <fileRecoveryPr autoRecover="0"/>
</workbook>
</file>

<file path=xl/calcChain.xml><?xml version="1.0" encoding="utf-8"?>
<calcChain xmlns="http://schemas.openxmlformats.org/spreadsheetml/2006/main">
  <c r="G22" i="36" l="1"/>
  <c r="G24" i="36" s="1"/>
  <c r="J15" i="40" l="1"/>
  <c r="K15" i="40" s="1"/>
  <c r="J16" i="40"/>
  <c r="K16" i="40" s="1"/>
  <c r="J19" i="40"/>
  <c r="K19" i="40" s="1"/>
  <c r="J20" i="40"/>
  <c r="K20" i="40" s="1"/>
  <c r="J21" i="40"/>
  <c r="K21" i="40"/>
  <c r="J22" i="40"/>
  <c r="K22" i="40" s="1"/>
  <c r="J23" i="40"/>
  <c r="K23" i="40" s="1"/>
  <c r="J24" i="40"/>
  <c r="K24" i="40" s="1"/>
  <c r="J14" i="40"/>
  <c r="K14" i="40" s="1"/>
  <c r="H74" i="33"/>
  <c r="I74" i="33" s="1"/>
  <c r="H75" i="33"/>
  <c r="I75" i="33" s="1"/>
  <c r="H76" i="33"/>
  <c r="H77" i="33"/>
  <c r="H81" i="33"/>
  <c r="H82" i="33"/>
  <c r="H83" i="33"/>
  <c r="H84" i="33"/>
  <c r="H85" i="33"/>
  <c r="H89" i="33"/>
  <c r="H90" i="33"/>
  <c r="H91" i="33"/>
  <c r="H92" i="33"/>
  <c r="H93" i="33"/>
  <c r="H97" i="33"/>
  <c r="H98" i="33"/>
  <c r="H99" i="33"/>
  <c r="H100" i="33"/>
  <c r="H101" i="33"/>
  <c r="H105" i="33"/>
  <c r="H106" i="33"/>
  <c r="H110" i="33"/>
  <c r="H115" i="33"/>
  <c r="H116" i="33"/>
  <c r="H119" i="33"/>
  <c r="H120" i="33"/>
  <c r="H121" i="33"/>
  <c r="H122" i="33"/>
  <c r="I122" i="33"/>
  <c r="H123" i="33"/>
  <c r="H124" i="33"/>
  <c r="H125" i="33"/>
  <c r="H126" i="33"/>
  <c r="H130" i="33"/>
  <c r="H131" i="33"/>
  <c r="H132" i="33"/>
  <c r="I132" i="33"/>
  <c r="H136" i="33"/>
  <c r="I136" i="33" s="1"/>
  <c r="H137" i="33"/>
  <c r="I137" i="33" s="1"/>
  <c r="H138" i="33"/>
  <c r="I138" i="33"/>
  <c r="H139" i="33"/>
  <c r="H140" i="33"/>
  <c r="I140" i="33"/>
  <c r="H141" i="33"/>
  <c r="I141" i="33" s="1"/>
  <c r="H145" i="33"/>
  <c r="H146" i="33"/>
  <c r="H147" i="33"/>
  <c r="I147" i="33" s="1"/>
  <c r="H148" i="33"/>
  <c r="H73" i="33"/>
  <c r="I73" i="33" s="1"/>
  <c r="H74" i="36"/>
  <c r="I74" i="36"/>
  <c r="H75" i="36"/>
  <c r="I75" i="36" s="1"/>
  <c r="H76" i="36"/>
  <c r="H77" i="36"/>
  <c r="I77" i="36" s="1"/>
  <c r="H81" i="36"/>
  <c r="H82" i="36"/>
  <c r="H83" i="36"/>
  <c r="H84" i="36"/>
  <c r="H85" i="36"/>
  <c r="H89" i="36"/>
  <c r="H90" i="36"/>
  <c r="H91" i="36"/>
  <c r="H92" i="36"/>
  <c r="H93" i="36"/>
  <c r="H97" i="36"/>
  <c r="H98" i="36"/>
  <c r="H99" i="36"/>
  <c r="H100" i="36"/>
  <c r="H101" i="36"/>
  <c r="H102" i="36"/>
  <c r="H106" i="36"/>
  <c r="H107" i="36"/>
  <c r="I107" i="36" s="1"/>
  <c r="H108" i="36"/>
  <c r="H109" i="36"/>
  <c r="H113" i="36"/>
  <c r="H118" i="36"/>
  <c r="H119" i="36"/>
  <c r="H120" i="36"/>
  <c r="H121" i="36"/>
  <c r="H124" i="36"/>
  <c r="H125" i="36"/>
  <c r="H126" i="36"/>
  <c r="H127" i="36"/>
  <c r="H128" i="36"/>
  <c r="H129" i="36"/>
  <c r="I129" i="36" s="1"/>
  <c r="H130" i="36"/>
  <c r="I130" i="36"/>
  <c r="H131" i="36"/>
  <c r="H132" i="36"/>
  <c r="H133" i="36"/>
  <c r="H137" i="36"/>
  <c r="H138" i="36"/>
  <c r="H139" i="36"/>
  <c r="I139" i="36" s="1"/>
  <c r="H143" i="36"/>
  <c r="I143" i="36" s="1"/>
  <c r="H144" i="36"/>
  <c r="I144" i="36" s="1"/>
  <c r="H145" i="36"/>
  <c r="I145" i="36" s="1"/>
  <c r="H146" i="36"/>
  <c r="H147" i="36"/>
  <c r="I147" i="36" s="1"/>
  <c r="H148" i="36"/>
  <c r="I148" i="36"/>
  <c r="H152" i="36"/>
  <c r="I152" i="36"/>
  <c r="I163" i="36" s="1"/>
  <c r="H153" i="36"/>
  <c r="I153" i="36" s="1"/>
  <c r="H154" i="36"/>
  <c r="I154" i="36" s="1"/>
  <c r="H155" i="36"/>
  <c r="I155" i="36" s="1"/>
  <c r="H156" i="36"/>
  <c r="I156" i="36"/>
  <c r="H157" i="36"/>
  <c r="I157" i="36" s="1"/>
  <c r="H158" i="36"/>
  <c r="I158" i="36"/>
  <c r="H159" i="36"/>
  <c r="I159" i="36" s="1"/>
  <c r="H160" i="36"/>
  <c r="I160" i="36" s="1"/>
  <c r="H161" i="36"/>
  <c r="I161" i="36" s="1"/>
  <c r="H165" i="36"/>
  <c r="H166" i="36"/>
  <c r="H167" i="36"/>
  <c r="I167" i="36" s="1"/>
  <c r="H168" i="36"/>
  <c r="H73" i="36"/>
  <c r="I73" i="36" s="1"/>
  <c r="H75" i="37"/>
  <c r="I75" i="37" s="1"/>
  <c r="H76" i="37"/>
  <c r="I76" i="37" s="1"/>
  <c r="H77" i="37"/>
  <c r="H78" i="37"/>
  <c r="H82" i="37"/>
  <c r="H83" i="37"/>
  <c r="H84" i="37"/>
  <c r="H85" i="37"/>
  <c r="H86" i="37"/>
  <c r="H90" i="37"/>
  <c r="H91" i="37"/>
  <c r="H92" i="37"/>
  <c r="H93" i="37"/>
  <c r="H94" i="37"/>
  <c r="H98" i="37"/>
  <c r="H99" i="37"/>
  <c r="H100" i="37"/>
  <c r="H101" i="37"/>
  <c r="H102" i="37"/>
  <c r="H106" i="37"/>
  <c r="H107" i="37"/>
  <c r="H111" i="37"/>
  <c r="H116" i="37"/>
  <c r="H117" i="37"/>
  <c r="H120" i="37"/>
  <c r="H121" i="37"/>
  <c r="H122" i="37"/>
  <c r="H123" i="37"/>
  <c r="I123" i="37" s="1"/>
  <c r="H124" i="37"/>
  <c r="H125" i="37"/>
  <c r="H126" i="37"/>
  <c r="H127" i="37"/>
  <c r="H131" i="37"/>
  <c r="H132" i="37"/>
  <c r="H133" i="37"/>
  <c r="H137" i="37"/>
  <c r="I137" i="37" s="1"/>
  <c r="H138" i="37"/>
  <c r="I138" i="37" s="1"/>
  <c r="H139" i="37"/>
  <c r="I139" i="37" s="1"/>
  <c r="H140" i="37"/>
  <c r="H141" i="37"/>
  <c r="I141" i="37"/>
  <c r="H142" i="37"/>
  <c r="I142" i="37" s="1"/>
  <c r="H146" i="37"/>
  <c r="H147" i="37"/>
  <c r="H148" i="37"/>
  <c r="I148" i="37" s="1"/>
  <c r="H149" i="37"/>
  <c r="I74" i="37"/>
  <c r="H74" i="37"/>
  <c r="C67" i="33"/>
  <c r="K25" i="40" l="1"/>
  <c r="D161" i="2"/>
  <c r="C13" i="38"/>
  <c r="B103" i="2"/>
  <c r="B496" i="2"/>
  <c r="B497" i="2"/>
  <c r="I24" i="40"/>
  <c r="I23" i="40"/>
  <c r="I22" i="40"/>
  <c r="I21" i="40"/>
  <c r="I20" i="40"/>
  <c r="I19" i="40"/>
  <c r="I16" i="40"/>
  <c r="I15" i="40"/>
  <c r="I14" i="40"/>
  <c r="C19" i="38"/>
  <c r="C17" i="38"/>
  <c r="C15" i="38"/>
  <c r="V25" i="38"/>
  <c r="X21" i="38"/>
  <c r="Y21" i="38" s="1"/>
  <c r="D133" i="37"/>
  <c r="I133" i="37" s="1"/>
  <c r="S7" i="3"/>
  <c r="S8" i="3"/>
  <c r="D125" i="37"/>
  <c r="I125" i="37" s="1"/>
  <c r="D122" i="37"/>
  <c r="I122" i="37" s="1"/>
  <c r="D121" i="37"/>
  <c r="I121" i="37" s="1"/>
  <c r="D120" i="37"/>
  <c r="I120" i="37" s="1"/>
  <c r="D117" i="37"/>
  <c r="I117" i="37" s="1"/>
  <c r="D116" i="37"/>
  <c r="I116" i="37" s="1"/>
  <c r="D124" i="37"/>
  <c r="I124" i="37" s="1"/>
  <c r="A119" i="37"/>
  <c r="E117" i="37"/>
  <c r="G75" i="37"/>
  <c r="D131" i="36"/>
  <c r="D132" i="36" s="1"/>
  <c r="D133" i="36" s="1"/>
  <c r="I133" i="36" s="1"/>
  <c r="D128" i="36"/>
  <c r="I128" i="36" s="1"/>
  <c r="D127" i="36"/>
  <c r="I127" i="36" s="1"/>
  <c r="D126" i="36"/>
  <c r="I126" i="36" s="1"/>
  <c r="D125" i="36"/>
  <c r="I125" i="36" s="1"/>
  <c r="D124" i="36"/>
  <c r="I124" i="36" s="1"/>
  <c r="D121" i="36"/>
  <c r="I121" i="36" s="1"/>
  <c r="D120" i="36"/>
  <c r="I120" i="36" s="1"/>
  <c r="D119" i="36"/>
  <c r="I119" i="36" s="1"/>
  <c r="D118" i="36"/>
  <c r="I118" i="36" s="1"/>
  <c r="A123" i="36"/>
  <c r="E121" i="36"/>
  <c r="G74" i="33"/>
  <c r="D124" i="33"/>
  <c r="D123" i="33"/>
  <c r="I123" i="33" s="1"/>
  <c r="D121" i="33"/>
  <c r="I121" i="33" s="1"/>
  <c r="D120" i="33"/>
  <c r="I120" i="33" s="1"/>
  <c r="D119" i="33"/>
  <c r="I119" i="33" s="1"/>
  <c r="D115" i="33"/>
  <c r="I115" i="33" s="1"/>
  <c r="D116" i="33"/>
  <c r="I116" i="33" s="1"/>
  <c r="R47" i="3"/>
  <c r="R86" i="3"/>
  <c r="R84" i="3"/>
  <c r="R83" i="3"/>
  <c r="R72" i="3"/>
  <c r="R43" i="3"/>
  <c r="R16" i="3"/>
  <c r="R15" i="3"/>
  <c r="R13" i="3"/>
  <c r="R12" i="3"/>
  <c r="R9" i="3"/>
  <c r="D146" i="37"/>
  <c r="I146" i="37" s="1"/>
  <c r="D147" i="37"/>
  <c r="I147" i="37" s="1"/>
  <c r="D111" i="37"/>
  <c r="D107" i="37"/>
  <c r="I107" i="37" s="1"/>
  <c r="D100" i="37"/>
  <c r="I100" i="37" s="1"/>
  <c r="D99" i="37"/>
  <c r="I99" i="37" s="1"/>
  <c r="D93" i="37"/>
  <c r="I93" i="37" s="1"/>
  <c r="D91" i="37"/>
  <c r="D77" i="37"/>
  <c r="I77" i="37" s="1"/>
  <c r="I80" i="37" s="1"/>
  <c r="D79" i="37"/>
  <c r="D106" i="37" s="1"/>
  <c r="I106" i="37" s="1"/>
  <c r="D78" i="37"/>
  <c r="D98" i="37" s="1"/>
  <c r="I98" i="37" s="1"/>
  <c r="E149" i="37"/>
  <c r="D149" i="37"/>
  <c r="I149" i="37" s="1"/>
  <c r="A147" i="37"/>
  <c r="A148" i="37" s="1"/>
  <c r="A149" i="37" s="1"/>
  <c r="G142" i="37"/>
  <c r="G141" i="37"/>
  <c r="D140" i="37"/>
  <c r="G140" i="37" s="1"/>
  <c r="G139" i="37"/>
  <c r="A139" i="37"/>
  <c r="A140" i="37" s="1"/>
  <c r="A141" i="37" s="1"/>
  <c r="A142" i="37" s="1"/>
  <c r="G138" i="37"/>
  <c r="G137" i="37"/>
  <c r="A107" i="37"/>
  <c r="D102" i="37"/>
  <c r="I102" i="37" s="1"/>
  <c r="A100" i="37"/>
  <c r="A101" i="37"/>
  <c r="A102" i="37" s="1"/>
  <c r="A91" i="37"/>
  <c r="A92" i="37" s="1"/>
  <c r="A93" i="37" s="1"/>
  <c r="A94" i="37" s="1"/>
  <c r="A83" i="37"/>
  <c r="A84" i="37"/>
  <c r="A85" i="37" s="1"/>
  <c r="A86" i="37" s="1"/>
  <c r="D90" i="37"/>
  <c r="I90" i="37" s="1"/>
  <c r="G76" i="37"/>
  <c r="A75" i="37"/>
  <c r="A76" i="37" s="1"/>
  <c r="A77" i="37"/>
  <c r="G74" i="37"/>
  <c r="C69" i="37"/>
  <c r="C68" i="37"/>
  <c r="D168" i="36"/>
  <c r="G168" i="36" s="1"/>
  <c r="D165" i="36"/>
  <c r="D166" i="36" s="1"/>
  <c r="I166" i="36" s="1"/>
  <c r="A153" i="36"/>
  <c r="A154" i="36" s="1"/>
  <c r="A155" i="36" s="1"/>
  <c r="A156" i="36" s="1"/>
  <c r="A157" i="36" s="1"/>
  <c r="A158" i="36" s="1"/>
  <c r="A159" i="36" s="1"/>
  <c r="A160" i="36" s="1"/>
  <c r="A161" i="36" s="1"/>
  <c r="G153" i="36"/>
  <c r="D113" i="36"/>
  <c r="D138" i="36" s="1"/>
  <c r="I138" i="36" s="1"/>
  <c r="D109" i="36"/>
  <c r="D106" i="36" s="1"/>
  <c r="I106" i="36" s="1"/>
  <c r="D108" i="36"/>
  <c r="I108" i="36" s="1"/>
  <c r="D101" i="36"/>
  <c r="I101" i="36" s="1"/>
  <c r="D100" i="36"/>
  <c r="I100" i="36" s="1"/>
  <c r="D99" i="36"/>
  <c r="I99" i="36" s="1"/>
  <c r="D98" i="36"/>
  <c r="I98" i="36" s="1"/>
  <c r="D97" i="36"/>
  <c r="I97" i="36" s="1"/>
  <c r="D92" i="36"/>
  <c r="I92" i="36" s="1"/>
  <c r="D90" i="36"/>
  <c r="D91" i="36" s="1"/>
  <c r="D137" i="36" s="1"/>
  <c r="I137" i="36" s="1"/>
  <c r="D78" i="36"/>
  <c r="D76" i="36"/>
  <c r="I76" i="36" s="1"/>
  <c r="I79" i="36" s="1"/>
  <c r="G74" i="36"/>
  <c r="R37" i="3"/>
  <c r="E168" i="36"/>
  <c r="A166" i="36"/>
  <c r="A167" i="36" s="1"/>
  <c r="A168" i="36" s="1"/>
  <c r="E161" i="36"/>
  <c r="E158" i="36"/>
  <c r="E159" i="36" s="1"/>
  <c r="G156" i="36"/>
  <c r="G155" i="36"/>
  <c r="E155" i="36"/>
  <c r="E156" i="36" s="1"/>
  <c r="G154" i="36"/>
  <c r="G148" i="36"/>
  <c r="G147" i="36"/>
  <c r="D146" i="36"/>
  <c r="G146" i="36" s="1"/>
  <c r="G145" i="36"/>
  <c r="A145" i="36"/>
  <c r="A146" i="36" s="1"/>
  <c r="A147" i="36" s="1"/>
  <c r="A148" i="36" s="1"/>
  <c r="G144" i="36"/>
  <c r="G143" i="36"/>
  <c r="A107" i="36"/>
  <c r="A108" i="36" s="1"/>
  <c r="D102" i="36"/>
  <c r="I102" i="36" s="1"/>
  <c r="A98" i="36"/>
  <c r="A99" i="36" s="1"/>
  <c r="A100" i="36" s="1"/>
  <c r="A101" i="36" s="1"/>
  <c r="A102" i="36" s="1"/>
  <c r="A90" i="36"/>
  <c r="A91" i="36"/>
  <c r="A92" i="36" s="1"/>
  <c r="A93" i="36" s="1"/>
  <c r="D89" i="36"/>
  <c r="I89" i="36" s="1"/>
  <c r="D82" i="36"/>
  <c r="I82" i="36" s="1"/>
  <c r="A82" i="36"/>
  <c r="A83" i="36"/>
  <c r="A84" i="36" s="1"/>
  <c r="A85" i="36" s="1"/>
  <c r="D81" i="36"/>
  <c r="D83" i="36" s="1"/>
  <c r="I83" i="36" s="1"/>
  <c r="G75" i="36"/>
  <c r="A74" i="36"/>
  <c r="A75" i="36" s="1"/>
  <c r="A76" i="36" s="1"/>
  <c r="G73" i="36"/>
  <c r="C68" i="36"/>
  <c r="C67" i="36"/>
  <c r="D37" i="3"/>
  <c r="D38" i="3"/>
  <c r="D82" i="37"/>
  <c r="D84" i="37" s="1"/>
  <c r="I84" i="37" s="1"/>
  <c r="D83" i="37"/>
  <c r="I83" i="37" s="1"/>
  <c r="D148" i="33"/>
  <c r="G148" i="33" s="1"/>
  <c r="D145" i="33"/>
  <c r="I145" i="33" s="1"/>
  <c r="D146" i="33"/>
  <c r="I146" i="33" s="1"/>
  <c r="A146" i="33"/>
  <c r="A147" i="33" s="1"/>
  <c r="A148" i="33" s="1"/>
  <c r="E116" i="33"/>
  <c r="D110" i="33"/>
  <c r="I110" i="33" s="1"/>
  <c r="I112" i="33" s="1"/>
  <c r="D131" i="33"/>
  <c r="I131" i="33" s="1"/>
  <c r="D106" i="33"/>
  <c r="I106" i="33" s="1"/>
  <c r="D105" i="33"/>
  <c r="I105" i="33" s="1"/>
  <c r="I108" i="33" s="1"/>
  <c r="D101" i="33"/>
  <c r="I101" i="33" s="1"/>
  <c r="D100" i="33"/>
  <c r="I100" i="33" s="1"/>
  <c r="D99" i="33"/>
  <c r="I99" i="33" s="1"/>
  <c r="D98" i="33"/>
  <c r="I98" i="33" s="1"/>
  <c r="D97" i="33"/>
  <c r="I97" i="33" s="1"/>
  <c r="D92" i="33"/>
  <c r="I92" i="33" s="1"/>
  <c r="D90" i="33"/>
  <c r="I90" i="33" s="1"/>
  <c r="D78" i="33"/>
  <c r="D84" i="33" s="1"/>
  <c r="I84" i="33" s="1"/>
  <c r="D77" i="33"/>
  <c r="D82" i="33" s="1"/>
  <c r="I82" i="33" s="1"/>
  <c r="D76" i="33"/>
  <c r="I76" i="33" s="1"/>
  <c r="I79" i="33" s="1"/>
  <c r="R85" i="3"/>
  <c r="R67" i="3"/>
  <c r="R68" i="3" s="1"/>
  <c r="R69" i="3" s="1"/>
  <c r="R45" i="3"/>
  <c r="G75" i="33"/>
  <c r="E148" i="33"/>
  <c r="G141" i="33"/>
  <c r="G140" i="33"/>
  <c r="D139" i="33"/>
  <c r="G139" i="33" s="1"/>
  <c r="G138" i="33"/>
  <c r="A138" i="33"/>
  <c r="A139" i="33"/>
  <c r="A140" i="33" s="1"/>
  <c r="A141" i="33" s="1"/>
  <c r="G137" i="33"/>
  <c r="G136" i="33"/>
  <c r="A118" i="33"/>
  <c r="A106" i="33"/>
  <c r="A99" i="33"/>
  <c r="A100" i="33" s="1"/>
  <c r="A101" i="33" s="1"/>
  <c r="A90" i="33"/>
  <c r="A91" i="33"/>
  <c r="A92" i="33" s="1"/>
  <c r="A93" i="33" s="1"/>
  <c r="A82" i="33"/>
  <c r="A83" i="33" s="1"/>
  <c r="A84" i="33" s="1"/>
  <c r="A85" i="33" s="1"/>
  <c r="A74" i="33"/>
  <c r="A75" i="33"/>
  <c r="A76" i="33" s="1"/>
  <c r="G73" i="33"/>
  <c r="C68" i="33"/>
  <c r="R98" i="3"/>
  <c r="R99" i="3" s="1"/>
  <c r="R56" i="3"/>
  <c r="R46" i="3"/>
  <c r="D28" i="3"/>
  <c r="D33" i="3"/>
  <c r="D98" i="3"/>
  <c r="D99" i="3" s="1"/>
  <c r="D100" i="3" s="1"/>
  <c r="A98" i="3"/>
  <c r="A99" i="3" s="1"/>
  <c r="A100" i="3" s="1"/>
  <c r="D16" i="3"/>
  <c r="D74" i="3"/>
  <c r="A42" i="3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3" i="3"/>
  <c r="A74" i="3" s="1"/>
  <c r="A75" i="3" s="1"/>
  <c r="A76" i="3" s="1"/>
  <c r="A77" i="3" s="1"/>
  <c r="A78" i="3" s="1"/>
  <c r="A79" i="3" s="1"/>
  <c r="A80" i="3" s="1"/>
  <c r="A20" i="3"/>
  <c r="A21" i="3" s="1"/>
  <c r="A22" i="3" s="1"/>
  <c r="I24" i="2"/>
  <c r="I25" i="2" s="1"/>
  <c r="I26" i="2" s="1"/>
  <c r="I27" i="2" s="1"/>
  <c r="D215" i="2"/>
  <c r="D226" i="2"/>
  <c r="D214" i="2"/>
  <c r="D225" i="2" s="1"/>
  <c r="D91" i="3"/>
  <c r="J560" i="2"/>
  <c r="A84" i="3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13" i="3"/>
  <c r="A14" i="3" s="1"/>
  <c r="A15" i="3" s="1"/>
  <c r="A16" i="3" s="1"/>
  <c r="A8" i="3"/>
  <c r="A9" i="3" s="1"/>
  <c r="J552" i="2"/>
  <c r="A110" i="3"/>
  <c r="A111" i="3"/>
  <c r="A112" i="3" s="1"/>
  <c r="A113" i="3" s="1"/>
  <c r="A114" i="3" s="1"/>
  <c r="A115" i="3" s="1"/>
  <c r="A116" i="3" s="1"/>
  <c r="A117" i="3" s="1"/>
  <c r="A118" i="3" s="1"/>
  <c r="A119" i="3" s="1"/>
  <c r="D81" i="33"/>
  <c r="D83" i="33" s="1"/>
  <c r="I83" i="33" s="1"/>
  <c r="D89" i="33"/>
  <c r="I89" i="33" s="1"/>
  <c r="G120" i="33"/>
  <c r="D85" i="33"/>
  <c r="I85" i="33" s="1"/>
  <c r="T7" i="3"/>
  <c r="E7" i="3" s="1"/>
  <c r="R49" i="3"/>
  <c r="T8" i="3"/>
  <c r="E8" i="3"/>
  <c r="S9" i="3"/>
  <c r="I104" i="36" l="1"/>
  <c r="I104" i="37"/>
  <c r="I109" i="37"/>
  <c r="I103" i="33"/>
  <c r="I150" i="33"/>
  <c r="I141" i="36"/>
  <c r="I151" i="37"/>
  <c r="D132" i="37"/>
  <c r="I132" i="37" s="1"/>
  <c r="I111" i="37"/>
  <c r="I113" i="37" s="1"/>
  <c r="D125" i="33"/>
  <c r="I124" i="33"/>
  <c r="I81" i="36"/>
  <c r="I131" i="36"/>
  <c r="I135" i="36" s="1"/>
  <c r="I77" i="33"/>
  <c r="I78" i="37"/>
  <c r="I91" i="36"/>
  <c r="I82" i="37"/>
  <c r="D91" i="33"/>
  <c r="D101" i="37"/>
  <c r="I101" i="37" s="1"/>
  <c r="I139" i="33"/>
  <c r="I143" i="33" s="1"/>
  <c r="I109" i="36"/>
  <c r="I111" i="36" s="1"/>
  <c r="I81" i="33"/>
  <c r="I87" i="33" s="1"/>
  <c r="I140" i="37"/>
  <c r="I144" i="37" s="1"/>
  <c r="I165" i="36"/>
  <c r="I90" i="36"/>
  <c r="I95" i="36" s="1"/>
  <c r="I132" i="36"/>
  <c r="G143" i="33"/>
  <c r="G18" i="33" s="1"/>
  <c r="H18" i="33" s="1"/>
  <c r="G149" i="37"/>
  <c r="D92" i="37"/>
  <c r="I91" i="37"/>
  <c r="D126" i="37"/>
  <c r="I113" i="36"/>
  <c r="I115" i="36" s="1"/>
  <c r="I146" i="36"/>
  <c r="I150" i="36" s="1"/>
  <c r="I148" i="33"/>
  <c r="I168" i="36"/>
  <c r="I25" i="40"/>
  <c r="G14" i="35" s="1"/>
  <c r="H14" i="35" s="1"/>
  <c r="G150" i="36"/>
  <c r="G18" i="36" s="1"/>
  <c r="H18" i="36" s="1"/>
  <c r="S10" i="3"/>
  <c r="T9" i="3"/>
  <c r="E9" i="3" s="1"/>
  <c r="G144" i="37"/>
  <c r="G18" i="37" s="1"/>
  <c r="H18" i="37" s="1"/>
  <c r="G236" i="2"/>
  <c r="G263" i="2"/>
  <c r="M263" i="2" s="1"/>
  <c r="G275" i="2"/>
  <c r="M275" i="2" s="1"/>
  <c r="D94" i="37"/>
  <c r="I94" i="37" s="1"/>
  <c r="D85" i="37"/>
  <c r="I85" i="37" s="1"/>
  <c r="D86" i="37"/>
  <c r="I86" i="37" s="1"/>
  <c r="R100" i="3"/>
  <c r="R58" i="3"/>
  <c r="D85" i="36"/>
  <c r="I85" i="36" s="1"/>
  <c r="D93" i="36"/>
  <c r="I93" i="36" s="1"/>
  <c r="D84" i="36"/>
  <c r="I84" i="36" s="1"/>
  <c r="D93" i="33"/>
  <c r="I93" i="33" s="1"/>
  <c r="I170" i="36" l="1"/>
  <c r="I87" i="36"/>
  <c r="D131" i="37"/>
  <c r="I131" i="37" s="1"/>
  <c r="I135" i="37" s="1"/>
  <c r="I92" i="37"/>
  <c r="I96" i="37" s="1"/>
  <c r="D126" i="33"/>
  <c r="I126" i="33" s="1"/>
  <c r="I125" i="33"/>
  <c r="I128" i="33" s="1"/>
  <c r="D127" i="37"/>
  <c r="I127" i="37" s="1"/>
  <c r="I126" i="37"/>
  <c r="I129" i="37" s="1"/>
  <c r="I88" i="37"/>
  <c r="I91" i="33"/>
  <c r="I95" i="33" s="1"/>
  <c r="D130" i="33"/>
  <c r="I130" i="33" s="1"/>
  <c r="I134" i="33" s="1"/>
  <c r="M236" i="2"/>
  <c r="G250" i="2"/>
  <c r="M250" i="2" s="1"/>
  <c r="G235" i="2"/>
  <c r="G495" i="2"/>
  <c r="M495" i="2" s="1"/>
  <c r="G69" i="2"/>
  <c r="G614" i="2"/>
  <c r="M614" i="2" s="1"/>
  <c r="G404" i="2"/>
  <c r="M404" i="2" s="1"/>
  <c r="G261" i="2"/>
  <c r="S11" i="3"/>
  <c r="T10" i="3"/>
  <c r="E10" i="3" s="1"/>
  <c r="G81" i="2" l="1"/>
  <c r="M69" i="2"/>
  <c r="M235" i="2"/>
  <c r="G248" i="2"/>
  <c r="M248" i="2" s="1"/>
  <c r="T11" i="3"/>
  <c r="E11" i="3" s="1"/>
  <c r="S12" i="3"/>
  <c r="G274" i="2"/>
  <c r="M274" i="2" s="1"/>
  <c r="M261" i="2"/>
  <c r="G92" i="2" l="1"/>
  <c r="M81" i="2"/>
  <c r="T12" i="3"/>
  <c r="E12" i="3" s="1"/>
  <c r="S13" i="3"/>
  <c r="T13" i="3" l="1"/>
  <c r="E13" i="3" s="1"/>
  <c r="G59" i="2" s="1"/>
  <c r="M59" i="2" s="1"/>
  <c r="M62" i="2" s="1"/>
  <c r="S14" i="3"/>
  <c r="G70" i="2"/>
  <c r="M70" i="2" s="1"/>
  <c r="G93" i="2"/>
  <c r="G276" i="2"/>
  <c r="M276" i="2" s="1"/>
  <c r="G262" i="2"/>
  <c r="M262" i="2" s="1"/>
  <c r="G405" i="2"/>
  <c r="M405" i="2" s="1"/>
  <c r="G496" i="2"/>
  <c r="M496" i="2" s="1"/>
  <c r="G82" i="2"/>
  <c r="M82" i="2" s="1"/>
  <c r="G615" i="2"/>
  <c r="M615" i="2" s="1"/>
  <c r="G237" i="2"/>
  <c r="G103" i="2"/>
  <c r="M92" i="2"/>
  <c r="M103" i="2" l="1"/>
  <c r="G137" i="2"/>
  <c r="M93" i="2"/>
  <c r="M98" i="2" s="1"/>
  <c r="G104" i="2"/>
  <c r="M237" i="2"/>
  <c r="G249" i="2"/>
  <c r="M249" i="2" s="1"/>
  <c r="T14" i="3"/>
  <c r="E14" i="3" s="1"/>
  <c r="S15" i="3"/>
  <c r="G138" i="2" l="1"/>
  <c r="M104" i="2"/>
  <c r="M109" i="2" s="1"/>
  <c r="G149" i="2"/>
  <c r="M149" i="2" s="1"/>
  <c r="M137" i="2"/>
  <c r="T15" i="3"/>
  <c r="E15" i="3" s="1"/>
  <c r="G68" i="2" s="1"/>
  <c r="M68" i="2" s="1"/>
  <c r="M75" i="2" s="1"/>
  <c r="S16" i="3"/>
  <c r="G616" i="2"/>
  <c r="M616" i="2" s="1"/>
  <c r="M621" i="2" s="1"/>
  <c r="G497" i="2"/>
  <c r="M497" i="2" s="1"/>
  <c r="M502" i="2" s="1"/>
  <c r="T16" i="3" l="1"/>
  <c r="E16" i="3" s="1"/>
  <c r="G40" i="2" s="1"/>
  <c r="S17" i="3"/>
  <c r="G150" i="2"/>
  <c r="M150" i="2" s="1"/>
  <c r="M138" i="2"/>
  <c r="S18" i="3" l="1"/>
  <c r="T17" i="3"/>
  <c r="E17" i="3" s="1"/>
  <c r="J40" i="2"/>
  <c r="G48" i="2"/>
  <c r="J48" i="2" s="1"/>
  <c r="T18" i="3" l="1"/>
  <c r="E18" i="3" s="1"/>
  <c r="S19" i="3"/>
  <c r="S20" i="3" l="1"/>
  <c r="T19" i="3"/>
  <c r="E19" i="3" s="1"/>
  <c r="G234" i="2" s="1"/>
  <c r="G247" i="2" l="1"/>
  <c r="M247" i="2" s="1"/>
  <c r="M255" i="2" s="1"/>
  <c r="M234" i="2"/>
  <c r="M242" i="2" s="1"/>
  <c r="S21" i="3"/>
  <c r="T20" i="3"/>
  <c r="E20" i="3" s="1"/>
  <c r="G260" i="2" s="1"/>
  <c r="M260" i="2" s="1"/>
  <c r="M268" i="2" s="1"/>
  <c r="T21" i="3" l="1"/>
  <c r="E21" i="3" s="1"/>
  <c r="G273" i="2" s="1"/>
  <c r="M273" i="2" s="1"/>
  <c r="M281" i="2" s="1"/>
  <c r="S22" i="3"/>
  <c r="S23" i="3" l="1"/>
  <c r="T22" i="3"/>
  <c r="E22" i="3" s="1"/>
  <c r="G80" i="2" s="1"/>
  <c r="M80" i="2" s="1"/>
  <c r="M87" i="2" s="1"/>
  <c r="S24" i="3" l="1"/>
  <c r="T23" i="3"/>
  <c r="E23" i="3" s="1"/>
  <c r="T24" i="3" l="1"/>
  <c r="E24" i="3" s="1"/>
  <c r="S25" i="3"/>
  <c r="T25" i="3" l="1"/>
  <c r="E25" i="3" s="1"/>
  <c r="G507" i="2" s="1"/>
  <c r="M507" i="2" s="1"/>
  <c r="S26" i="3"/>
  <c r="T26" i="3" l="1"/>
  <c r="E26" i="3" s="1"/>
  <c r="G508" i="2" s="1"/>
  <c r="M508" i="2" s="1"/>
  <c r="M513" i="2" s="1"/>
  <c r="S27" i="3"/>
  <c r="S28" i="3" l="1"/>
  <c r="T27" i="3"/>
  <c r="E27" i="3" s="1"/>
  <c r="G21" i="2" l="1"/>
  <c r="J21" i="2" s="1"/>
  <c r="G352" i="2"/>
  <c r="M352" i="2" s="1"/>
  <c r="G115" i="2"/>
  <c r="M115" i="2" s="1"/>
  <c r="G530" i="2"/>
  <c r="M530" i="2" s="1"/>
  <c r="G353" i="2"/>
  <c r="M353" i="2" s="1"/>
  <c r="G286" i="2"/>
  <c r="M286" i="2" s="1"/>
  <c r="S29" i="3"/>
  <c r="T28" i="3"/>
  <c r="E28" i="3" s="1"/>
  <c r="T29" i="3" l="1"/>
  <c r="E29" i="3" s="1"/>
  <c r="S30" i="3"/>
  <c r="G298" i="2"/>
  <c r="M298" i="2" s="1"/>
  <c r="G309" i="2"/>
  <c r="M309" i="2" s="1"/>
  <c r="G322" i="2"/>
  <c r="M322" i="2" s="1"/>
  <c r="G334" i="2"/>
  <c r="M334" i="2" s="1"/>
  <c r="S31" i="3" l="1"/>
  <c r="T30" i="3"/>
  <c r="E30" i="3" s="1"/>
  <c r="S32" i="3" l="1"/>
  <c r="T31" i="3"/>
  <c r="E31" i="3" s="1"/>
  <c r="T32" i="3" l="1"/>
  <c r="E32" i="3" s="1"/>
  <c r="S33" i="3"/>
  <c r="T33" i="3" l="1"/>
  <c r="E33" i="3" s="1"/>
  <c r="G287" i="2" s="1"/>
  <c r="M287" i="2" s="1"/>
  <c r="M292" i="2" s="1"/>
  <c r="S34" i="3"/>
  <c r="T34" i="3" s="1"/>
  <c r="E34" i="3" s="1"/>
  <c r="G136" i="2" s="1"/>
  <c r="S35" i="3"/>
  <c r="T35" i="3" l="1"/>
  <c r="E35" i="3" s="1"/>
  <c r="G297" i="2" s="1"/>
  <c r="M297" i="2" s="1"/>
  <c r="M303" i="2" s="1"/>
  <c r="S36" i="3"/>
  <c r="G148" i="2"/>
  <c r="M148" i="2" s="1"/>
  <c r="M155" i="2" s="1"/>
  <c r="M136" i="2"/>
  <c r="M143" i="2" s="1"/>
  <c r="S37" i="3" l="1"/>
  <c r="T36" i="3"/>
  <c r="E36" i="3" s="1"/>
  <c r="G308" i="2" s="1"/>
  <c r="M308" i="2" s="1"/>
  <c r="M314" i="2" s="1"/>
  <c r="S39" i="3"/>
  <c r="T39" i="3" l="1"/>
  <c r="E39" i="3" s="1"/>
  <c r="S40" i="3"/>
  <c r="T37" i="3"/>
  <c r="E37" i="3" s="1"/>
  <c r="G333" i="2" s="1"/>
  <c r="M333" i="2" s="1"/>
  <c r="S38" i="3"/>
  <c r="T38" i="3" s="1"/>
  <c r="E38" i="3" s="1"/>
  <c r="G335" i="2" s="1"/>
  <c r="M335" i="2" s="1"/>
  <c r="S41" i="3" l="1"/>
  <c r="T40" i="3"/>
  <c r="E40" i="3" s="1"/>
  <c r="M340" i="2"/>
  <c r="T41" i="3" l="1"/>
  <c r="E41" i="3" s="1"/>
  <c r="G529" i="2" s="1"/>
  <c r="M529" i="2" s="1"/>
  <c r="S42" i="3"/>
  <c r="T42" i="3" l="1"/>
  <c r="E42" i="3" s="1"/>
  <c r="G20" i="2" s="1"/>
  <c r="J20" i="2" s="1"/>
  <c r="S43" i="3"/>
  <c r="T43" i="3" l="1"/>
  <c r="E43" i="3" s="1"/>
  <c r="S44" i="3"/>
  <c r="S45" i="3" l="1"/>
  <c r="T44" i="3"/>
  <c r="E44" i="3" s="1"/>
  <c r="G347" i="2" l="1"/>
  <c r="M347" i="2" s="1"/>
  <c r="G114" i="2"/>
  <c r="M114" i="2" s="1"/>
  <c r="M120" i="2" s="1"/>
  <c r="T45" i="3"/>
  <c r="E45" i="3" s="1"/>
  <c r="S46" i="3"/>
  <c r="S47" i="3" l="1"/>
  <c r="T46" i="3"/>
  <c r="E46" i="3" s="1"/>
  <c r="S48" i="3" l="1"/>
  <c r="T47" i="3"/>
  <c r="E47" i="3" s="1"/>
  <c r="G125" i="2" s="1"/>
  <c r="M125" i="2" s="1"/>
  <c r="S49" i="3" l="1"/>
  <c r="T48" i="3"/>
  <c r="E48" i="3" s="1"/>
  <c r="T49" i="3" l="1"/>
  <c r="E49" i="3" s="1"/>
  <c r="S50" i="3"/>
  <c r="T50" i="3" l="1"/>
  <c r="E50" i="3" s="1"/>
  <c r="S51" i="3"/>
  <c r="T51" i="3" l="1"/>
  <c r="E51" i="3" s="1"/>
  <c r="G161" i="2" s="1"/>
  <c r="M161" i="2" s="1"/>
  <c r="S52" i="3"/>
  <c r="T52" i="3" l="1"/>
  <c r="E52" i="3" s="1"/>
  <c r="S53" i="3"/>
  <c r="T53" i="3" l="1"/>
  <c r="E53" i="3" s="1"/>
  <c r="G349" i="2" s="1"/>
  <c r="M349" i="2" s="1"/>
  <c r="S54" i="3"/>
  <c r="G348" i="2"/>
  <c r="M348" i="2" s="1"/>
  <c r="G321" i="2"/>
  <c r="M321" i="2" s="1"/>
  <c r="M327" i="2" s="1"/>
  <c r="S55" i="3" l="1"/>
  <c r="T54" i="3"/>
  <c r="E54" i="3" s="1"/>
  <c r="S56" i="3" l="1"/>
  <c r="T55" i="3"/>
  <c r="E55" i="3" s="1"/>
  <c r="G351" i="2" s="1"/>
  <c r="G350" i="2"/>
  <c r="M350" i="2" s="1"/>
  <c r="G365" i="2"/>
  <c r="M365" i="2" s="1"/>
  <c r="M351" i="2" l="1"/>
  <c r="M358" i="2" s="1"/>
  <c r="G366" i="2"/>
  <c r="M366" i="2" s="1"/>
  <c r="T56" i="3"/>
  <c r="E56" i="3" s="1"/>
  <c r="G364" i="2" s="1"/>
  <c r="M364" i="2" s="1"/>
  <c r="M371" i="2" s="1"/>
  <c r="S57" i="3"/>
  <c r="S58" i="3" l="1"/>
  <c r="T57" i="3"/>
  <c r="E57" i="3" s="1"/>
  <c r="G528" i="2" s="1"/>
  <c r="M528" i="2" s="1"/>
  <c r="M535" i="2" s="1"/>
  <c r="S59" i="3" l="1"/>
  <c r="T58" i="3"/>
  <c r="E58" i="3" s="1"/>
  <c r="G22" i="2" s="1"/>
  <c r="J22" i="2" s="1"/>
  <c r="M23" i="2" s="1"/>
  <c r="M28" i="2" s="1"/>
  <c r="T59" i="3" l="1"/>
  <c r="E59" i="3" s="1"/>
  <c r="G518" i="2" s="1"/>
  <c r="M518" i="2" s="1"/>
  <c r="M523" i="2" s="1"/>
  <c r="S60" i="3"/>
  <c r="T60" i="3" l="1"/>
  <c r="E60" i="3" s="1"/>
  <c r="G126" i="2" s="1"/>
  <c r="M126" i="2" s="1"/>
  <c r="M131" i="2" s="1"/>
  <c r="S61" i="3"/>
  <c r="T61" i="3" l="1"/>
  <c r="E61" i="3" s="1"/>
  <c r="G160" i="2" s="1"/>
  <c r="M160" i="2" s="1"/>
  <c r="M166" i="2" s="1"/>
  <c r="S62" i="3"/>
  <c r="S63" i="3" l="1"/>
  <c r="T62" i="3"/>
  <c r="E62" i="3" s="1"/>
  <c r="G171" i="2" s="1"/>
  <c r="M171" i="2" s="1"/>
  <c r="T63" i="3" l="1"/>
  <c r="E63" i="3" s="1"/>
  <c r="G202" i="2" s="1"/>
  <c r="S64" i="3"/>
  <c r="S65" i="3" l="1"/>
  <c r="T64" i="3"/>
  <c r="E64" i="3" s="1"/>
  <c r="G181" i="2" s="1"/>
  <c r="M181" i="2" s="1"/>
  <c r="G213" i="2"/>
  <c r="M202" i="2"/>
  <c r="M213" i="2" l="1"/>
  <c r="G224" i="2"/>
  <c r="M224" i="2" s="1"/>
  <c r="T65" i="3"/>
  <c r="E65" i="3" s="1"/>
  <c r="G191" i="2" s="1"/>
  <c r="M191" i="2" s="1"/>
  <c r="S66" i="3"/>
  <c r="S67" i="3" l="1"/>
  <c r="T66" i="3"/>
  <c r="E66" i="3" s="1"/>
  <c r="T67" i="3" l="1"/>
  <c r="E67" i="3" s="1"/>
  <c r="G201" i="2" s="1"/>
  <c r="M201" i="2" s="1"/>
  <c r="M207" i="2" s="1"/>
  <c r="S68" i="3"/>
  <c r="T68" i="3" l="1"/>
  <c r="E68" i="3" s="1"/>
  <c r="G212" i="2" s="1"/>
  <c r="M212" i="2" s="1"/>
  <c r="M218" i="2" s="1"/>
  <c r="S69" i="3"/>
  <c r="T69" i="3" l="1"/>
  <c r="E69" i="3" s="1"/>
  <c r="G223" i="2" s="1"/>
  <c r="M223" i="2" s="1"/>
  <c r="M229" i="2" s="1"/>
  <c r="S70" i="3"/>
  <c r="T70" i="3" l="1"/>
  <c r="E70" i="3" s="1"/>
  <c r="S71" i="3"/>
  <c r="T71" i="3" l="1"/>
  <c r="E71" i="3" s="1"/>
  <c r="S72" i="3"/>
  <c r="T72" i="3" l="1"/>
  <c r="E72" i="3" s="1"/>
  <c r="S73" i="3"/>
  <c r="S74" i="3" l="1"/>
  <c r="T73" i="3"/>
  <c r="E73" i="3" s="1"/>
  <c r="G390" i="2" s="1"/>
  <c r="G379" i="2"/>
  <c r="M379" i="2" s="1"/>
  <c r="G380" i="2"/>
  <c r="M380" i="2" s="1"/>
  <c r="G393" i="2" l="1"/>
  <c r="M393" i="2" s="1"/>
  <c r="M390" i="2"/>
  <c r="T74" i="3"/>
  <c r="E74" i="3" s="1"/>
  <c r="G392" i="2" s="1"/>
  <c r="M392" i="2" s="1"/>
  <c r="S75" i="3"/>
  <c r="T75" i="3" l="1"/>
  <c r="E75" i="3" s="1"/>
  <c r="S76" i="3"/>
  <c r="S77" i="3" l="1"/>
  <c r="T76" i="3"/>
  <c r="E76" i="3" s="1"/>
  <c r="G391" i="2" s="1"/>
  <c r="M391" i="2" s="1"/>
  <c r="M398" i="2" s="1"/>
  <c r="T77" i="3" l="1"/>
  <c r="E77" i="3" s="1"/>
  <c r="G378" i="2" s="1"/>
  <c r="M378" i="2" s="1"/>
  <c r="M385" i="2" s="1"/>
  <c r="S78" i="3"/>
  <c r="S79" i="3" l="1"/>
  <c r="T78" i="3"/>
  <c r="E78" i="3" s="1"/>
  <c r="S80" i="3" l="1"/>
  <c r="T79" i="3"/>
  <c r="E79" i="3" s="1"/>
  <c r="S81" i="3" l="1"/>
  <c r="T80" i="3"/>
  <c r="E80" i="3" s="1"/>
  <c r="S82" i="3" l="1"/>
  <c r="T81" i="3"/>
  <c r="E81" i="3" s="1"/>
  <c r="S83" i="3" l="1"/>
  <c r="T82" i="3"/>
  <c r="E82" i="3" s="1"/>
  <c r="S84" i="3" l="1"/>
  <c r="T83" i="3"/>
  <c r="E83" i="3" s="1"/>
  <c r="G417" i="2" s="1"/>
  <c r="G418" i="2" l="1"/>
  <c r="M418" i="2" s="1"/>
  <c r="M417" i="2"/>
  <c r="M423" i="2" s="1"/>
  <c r="S85" i="3"/>
  <c r="T84" i="3"/>
  <c r="E84" i="3" s="1"/>
  <c r="G428" i="2" s="1"/>
  <c r="M428" i="2" l="1"/>
  <c r="G429" i="2"/>
  <c r="M429" i="2" s="1"/>
  <c r="S86" i="3"/>
  <c r="T85" i="3"/>
  <c r="E85" i="3" s="1"/>
  <c r="G439" i="2" s="1"/>
  <c r="G440" i="2" l="1"/>
  <c r="M440" i="2" s="1"/>
  <c r="M439" i="2"/>
  <c r="M445" i="2" s="1"/>
  <c r="T86" i="3"/>
  <c r="E86" i="3" s="1"/>
  <c r="G451" i="2" s="1"/>
  <c r="S87" i="3"/>
  <c r="M434" i="2"/>
  <c r="S88" i="3" l="1"/>
  <c r="T87" i="3"/>
  <c r="E87" i="3" s="1"/>
  <c r="G403" i="2" s="1"/>
  <c r="M403" i="2" s="1"/>
  <c r="M410" i="2" s="1"/>
  <c r="G452" i="2"/>
  <c r="M452" i="2" s="1"/>
  <c r="M451" i="2"/>
  <c r="M457" i="2" l="1"/>
  <c r="S89" i="3"/>
  <c r="T88" i="3"/>
  <c r="E88" i="3" s="1"/>
  <c r="G484" i="2" s="1"/>
  <c r="M484" i="2" s="1"/>
  <c r="M489" i="2" s="1"/>
  <c r="S90" i="3" l="1"/>
  <c r="T89" i="3"/>
  <c r="E89" i="3" s="1"/>
  <c r="G462" i="2" s="1"/>
  <c r="M462" i="2" s="1"/>
  <c r="S91" i="3" l="1"/>
  <c r="T90" i="3"/>
  <c r="E90" i="3" s="1"/>
  <c r="G473" i="2" s="1"/>
  <c r="M473" i="2" s="1"/>
  <c r="S92" i="3" l="1"/>
  <c r="T91" i="3"/>
  <c r="E91" i="3" s="1"/>
  <c r="T92" i="3" l="1"/>
  <c r="E92" i="3" s="1"/>
  <c r="S93" i="3"/>
  <c r="T93" i="3" l="1"/>
  <c r="E93" i="3" s="1"/>
  <c r="S94" i="3"/>
  <c r="S95" i="3" l="1"/>
  <c r="T94" i="3"/>
  <c r="E94" i="3" s="1"/>
  <c r="G463" i="2" s="1"/>
  <c r="M463" i="2" l="1"/>
  <c r="M468" i="2" s="1"/>
  <c r="G475" i="2"/>
  <c r="J475" i="2" s="1"/>
  <c r="T95" i="3"/>
  <c r="E95" i="3" s="1"/>
  <c r="S96" i="3"/>
  <c r="T96" i="3" l="1"/>
  <c r="E96" i="3" s="1"/>
  <c r="S97" i="3"/>
  <c r="S98" i="3" l="1"/>
  <c r="T97" i="3"/>
  <c r="E97" i="3" s="1"/>
  <c r="G49" i="2" s="1"/>
  <c r="J49" i="2" s="1"/>
  <c r="S99" i="3" l="1"/>
  <c r="T98" i="3"/>
  <c r="E98" i="3" s="1"/>
  <c r="G50" i="2" s="1"/>
  <c r="J50" i="2" s="1"/>
  <c r="S100" i="3" l="1"/>
  <c r="T99" i="3"/>
  <c r="E99" i="3" s="1"/>
  <c r="G51" i="2" s="1"/>
  <c r="J51" i="2" s="1"/>
  <c r="T100" i="3" l="1"/>
  <c r="E100" i="3" s="1"/>
  <c r="G52" i="2" s="1"/>
  <c r="J52" i="2" s="1"/>
  <c r="S101" i="3"/>
  <c r="T101" i="3" l="1"/>
  <c r="S102" i="3"/>
  <c r="T102" i="3" l="1"/>
  <c r="S103" i="3"/>
  <c r="T103" i="3" l="1"/>
  <c r="S104" i="3"/>
  <c r="S105" i="3" l="1"/>
  <c r="T104" i="3"/>
  <c r="S106" i="3" l="1"/>
  <c r="T105" i="3"/>
  <c r="T106" i="3" l="1"/>
  <c r="S107" i="3"/>
  <c r="T107" i="3" l="1"/>
  <c r="S108" i="3"/>
  <c r="S109" i="3" l="1"/>
  <c r="T108" i="3"/>
  <c r="S110" i="3" l="1"/>
  <c r="T109" i="3"/>
  <c r="E109" i="3" s="1"/>
  <c r="G6" i="2" l="1"/>
  <c r="G241" i="2"/>
  <c r="G42" i="2"/>
  <c r="J42" i="2" s="1"/>
  <c r="G74" i="2"/>
  <c r="J74" i="2" s="1"/>
  <c r="G97" i="2"/>
  <c r="G291" i="2"/>
  <c r="G501" i="2"/>
  <c r="J501" i="2" s="1"/>
  <c r="G119" i="2"/>
  <c r="J119" i="2" s="1"/>
  <c r="G618" i="2"/>
  <c r="J618" i="2" s="1"/>
  <c r="G165" i="2"/>
  <c r="J165" i="2" s="1"/>
  <c r="G130" i="2"/>
  <c r="J130" i="2" s="1"/>
  <c r="G27" i="2"/>
  <c r="J27" i="2" s="1"/>
  <c r="G397" i="2"/>
  <c r="J397" i="2" s="1"/>
  <c r="G34" i="2"/>
  <c r="J34" i="2" s="1"/>
  <c r="G86" i="2"/>
  <c r="J86" i="2" s="1"/>
  <c r="G534" i="2"/>
  <c r="J534" i="2" s="1"/>
  <c r="G384" i="2"/>
  <c r="J384" i="2" s="1"/>
  <c r="G422" i="2"/>
  <c r="G61" i="2"/>
  <c r="J61" i="2" s="1"/>
  <c r="G357" i="2"/>
  <c r="G175" i="2"/>
  <c r="G195" i="2"/>
  <c r="G512" i="2"/>
  <c r="G409" i="2"/>
  <c r="J409" i="2" s="1"/>
  <c r="S111" i="3"/>
  <c r="T110" i="3"/>
  <c r="E110" i="3" s="1"/>
  <c r="J512" i="2" l="1"/>
  <c r="G522" i="2"/>
  <c r="J522" i="2" s="1"/>
  <c r="J195" i="2"/>
  <c r="G206" i="2"/>
  <c r="J291" i="2"/>
  <c r="G302" i="2"/>
  <c r="G185" i="2"/>
  <c r="J185" i="2" s="1"/>
  <c r="J175" i="2"/>
  <c r="J97" i="2"/>
  <c r="G108" i="2"/>
  <c r="J357" i="2"/>
  <c r="G370" i="2"/>
  <c r="J370" i="2" s="1"/>
  <c r="G25" i="2"/>
  <c r="J25" i="2" s="1"/>
  <c r="G173" i="2"/>
  <c r="G533" i="2"/>
  <c r="J533" i="2" s="1"/>
  <c r="G193" i="2"/>
  <c r="G289" i="2"/>
  <c r="G355" i="2"/>
  <c r="G521" i="2"/>
  <c r="J521" i="2" s="1"/>
  <c r="G128" i="2"/>
  <c r="J128" i="2" s="1"/>
  <c r="G163" i="2"/>
  <c r="J163" i="2" s="1"/>
  <c r="G117" i="2"/>
  <c r="J117" i="2" s="1"/>
  <c r="G433" i="2"/>
  <c r="J422" i="2"/>
  <c r="J241" i="2"/>
  <c r="G254" i="2"/>
  <c r="J254" i="2" s="1"/>
  <c r="G267" i="2"/>
  <c r="T111" i="3"/>
  <c r="E111" i="3" s="1"/>
  <c r="S112" i="3"/>
  <c r="J6" i="2"/>
  <c r="G13" i="2"/>
  <c r="J13" i="2" s="1"/>
  <c r="J173" i="2" l="1"/>
  <c r="G183" i="2"/>
  <c r="J183" i="2" s="1"/>
  <c r="S113" i="3"/>
  <c r="T112" i="3"/>
  <c r="E112" i="3" s="1"/>
  <c r="J206" i="2"/>
  <c r="G217" i="2"/>
  <c r="J267" i="2"/>
  <c r="G280" i="2"/>
  <c r="J280" i="2" s="1"/>
  <c r="J355" i="2"/>
  <c r="G368" i="2"/>
  <c r="J368" i="2" s="1"/>
  <c r="J108" i="2"/>
  <c r="G142" i="2"/>
  <c r="G203" i="2"/>
  <c r="J193" i="2"/>
  <c r="G444" i="2"/>
  <c r="J433" i="2"/>
  <c r="G313" i="2"/>
  <c r="J302" i="2"/>
  <c r="G354" i="2"/>
  <c r="G288" i="2"/>
  <c r="G172" i="2"/>
  <c r="G24" i="2"/>
  <c r="J24" i="2" s="1"/>
  <c r="G531" i="2"/>
  <c r="J531" i="2" s="1"/>
  <c r="G162" i="2"/>
  <c r="J162" i="2" s="1"/>
  <c r="G519" i="2"/>
  <c r="J519" i="2" s="1"/>
  <c r="G116" i="2"/>
  <c r="J116" i="2" s="1"/>
  <c r="G127" i="2"/>
  <c r="J127" i="2" s="1"/>
  <c r="G192" i="2"/>
  <c r="G474" i="2"/>
  <c r="M474" i="2" s="1"/>
  <c r="M479" i="2" s="1"/>
  <c r="G301" i="2"/>
  <c r="J289" i="2"/>
  <c r="J301" i="2" l="1"/>
  <c r="G312" i="2"/>
  <c r="G182" i="2"/>
  <c r="M182" i="2" s="1"/>
  <c r="M186" i="2" s="1"/>
  <c r="M172" i="2"/>
  <c r="M176" i="2" s="1"/>
  <c r="M192" i="2"/>
  <c r="M196" i="2" s="1"/>
  <c r="G204" i="2"/>
  <c r="G500" i="2"/>
  <c r="J500" i="2" s="1"/>
  <c r="G239" i="2"/>
  <c r="G84" i="2"/>
  <c r="J84" i="2" s="1"/>
  <c r="G620" i="2"/>
  <c r="J620" i="2" s="1"/>
  <c r="G95" i="2"/>
  <c r="G72" i="2"/>
  <c r="J72" i="2" s="1"/>
  <c r="G420" i="2"/>
  <c r="G407" i="2"/>
  <c r="J407" i="2" s="1"/>
  <c r="G228" i="2"/>
  <c r="J228" i="2" s="1"/>
  <c r="J217" i="2"/>
  <c r="J203" i="2"/>
  <c r="G214" i="2"/>
  <c r="G300" i="2"/>
  <c r="J288" i="2"/>
  <c r="G154" i="2"/>
  <c r="J154" i="2" s="1"/>
  <c r="J142" i="2"/>
  <c r="J354" i="2"/>
  <c r="G367" i="2"/>
  <c r="J367" i="2" s="1"/>
  <c r="S114" i="3"/>
  <c r="T113" i="3"/>
  <c r="E113" i="3" s="1"/>
  <c r="J444" i="2"/>
  <c r="G456" i="2"/>
  <c r="J313" i="2"/>
  <c r="G326" i="2"/>
  <c r="G339" i="2" s="1"/>
  <c r="G215" i="2" l="1"/>
  <c r="J204" i="2"/>
  <c r="G106" i="2"/>
  <c r="J95" i="2"/>
  <c r="G431" i="2"/>
  <c r="J420" i="2"/>
  <c r="T114" i="3"/>
  <c r="E114" i="3" s="1"/>
  <c r="G510" i="2" s="1"/>
  <c r="J510" i="2" s="1"/>
  <c r="S115" i="3"/>
  <c r="J456" i="2"/>
  <c r="G467" i="2"/>
  <c r="J312" i="2"/>
  <c r="G324" i="2"/>
  <c r="G252" i="2"/>
  <c r="J252" i="2" s="1"/>
  <c r="G265" i="2"/>
  <c r="J239" i="2"/>
  <c r="G83" i="2"/>
  <c r="J83" i="2" s="1"/>
  <c r="G619" i="2"/>
  <c r="J619" i="2" s="1"/>
  <c r="G71" i="2"/>
  <c r="J71" i="2" s="1"/>
  <c r="G94" i="2"/>
  <c r="G499" i="2"/>
  <c r="J499" i="2" s="1"/>
  <c r="G406" i="2"/>
  <c r="J406" i="2" s="1"/>
  <c r="G238" i="2"/>
  <c r="G419" i="2"/>
  <c r="J300" i="2"/>
  <c r="G311" i="2"/>
  <c r="J214" i="2"/>
  <c r="G225" i="2"/>
  <c r="J225" i="2" s="1"/>
  <c r="G488" i="2" l="1"/>
  <c r="J488" i="2" s="1"/>
  <c r="J467" i="2"/>
  <c r="G251" i="2"/>
  <c r="J251" i="2" s="1"/>
  <c r="J238" i="2"/>
  <c r="G264" i="2"/>
  <c r="J106" i="2"/>
  <c r="G140" i="2"/>
  <c r="T115" i="3"/>
  <c r="E115" i="3" s="1"/>
  <c r="G509" i="2" s="1"/>
  <c r="J509" i="2" s="1"/>
  <c r="S116" i="3"/>
  <c r="G430" i="2"/>
  <c r="J419" i="2"/>
  <c r="G278" i="2"/>
  <c r="J278" i="2" s="1"/>
  <c r="J265" i="2"/>
  <c r="G105" i="2"/>
  <c r="J94" i="2"/>
  <c r="J311" i="2"/>
  <c r="G323" i="2"/>
  <c r="G337" i="2"/>
  <c r="J337" i="2" s="1"/>
  <c r="J324" i="2"/>
  <c r="G442" i="2"/>
  <c r="J431" i="2"/>
  <c r="J215" i="2"/>
  <c r="G226" i="2"/>
  <c r="J226" i="2" s="1"/>
  <c r="J264" i="2" l="1"/>
  <c r="G277" i="2"/>
  <c r="J277" i="2" s="1"/>
  <c r="J105" i="2"/>
  <c r="G139" i="2"/>
  <c r="J430" i="2"/>
  <c r="G441" i="2"/>
  <c r="J323" i="2"/>
  <c r="G336" i="2"/>
  <c r="J336" i="2" s="1"/>
  <c r="G152" i="2"/>
  <c r="J152" i="2" s="1"/>
  <c r="J140" i="2"/>
  <c r="J442" i="2"/>
  <c r="G454" i="2"/>
  <c r="T116" i="3"/>
  <c r="E116" i="3" s="1"/>
  <c r="S117" i="3"/>
  <c r="G151" i="2" l="1"/>
  <c r="J151" i="2" s="1"/>
  <c r="J139" i="2"/>
  <c r="G395" i="2"/>
  <c r="J395" i="2" s="1"/>
  <c r="G382" i="2"/>
  <c r="J382" i="2" s="1"/>
  <c r="S118" i="3"/>
  <c r="T117" i="3"/>
  <c r="E117" i="3" s="1"/>
  <c r="J454" i="2"/>
  <c r="G465" i="2"/>
  <c r="G453" i="2"/>
  <c r="J441" i="2"/>
  <c r="G381" i="2" l="1"/>
  <c r="J381" i="2" s="1"/>
  <c r="G394" i="2"/>
  <c r="J394" i="2" s="1"/>
  <c r="S119" i="3"/>
  <c r="T118" i="3"/>
  <c r="E118" i="3" s="1"/>
  <c r="J453" i="2"/>
  <c r="G464" i="2"/>
  <c r="G486" i="2"/>
  <c r="J486" i="2" s="1"/>
  <c r="J465" i="2"/>
  <c r="G477" i="2"/>
  <c r="J477" i="2" s="1"/>
  <c r="J464" i="2" l="1"/>
  <c r="G485" i="2"/>
  <c r="J485" i="2" s="1"/>
  <c r="G476" i="2"/>
  <c r="J476" i="2" s="1"/>
  <c r="S120" i="3"/>
  <c r="T120" i="3" s="1"/>
  <c r="E120" i="3" s="1"/>
  <c r="T119" i="3"/>
  <c r="E119" i="3" s="1"/>
  <c r="G532" i="2" l="1"/>
  <c r="J532" i="2" s="1"/>
  <c r="J535" i="2" s="1"/>
  <c r="P535" i="2" s="1"/>
  <c r="P536" i="2" s="1"/>
  <c r="P537" i="2" s="1"/>
  <c r="G548" i="2" s="1"/>
  <c r="G118" i="2"/>
  <c r="J118" i="2" s="1"/>
  <c r="J120" i="2" s="1"/>
  <c r="P120" i="2" s="1"/>
  <c r="P121" i="2" s="1"/>
  <c r="P122" i="2" s="1"/>
  <c r="G26" i="2"/>
  <c r="J26" i="2" s="1"/>
  <c r="J28" i="2" s="1"/>
  <c r="P28" i="2" s="1"/>
  <c r="P29" i="2" s="1"/>
  <c r="P30" i="2" s="1"/>
  <c r="G60" i="2"/>
  <c r="J60" i="2" s="1"/>
  <c r="J62" i="2" s="1"/>
  <c r="P62" i="2" s="1"/>
  <c r="P63" i="2" s="1"/>
  <c r="P64" i="2" s="1"/>
  <c r="G174" i="2"/>
  <c r="G96" i="2"/>
  <c r="G5" i="2"/>
  <c r="G41" i="2"/>
  <c r="G540" i="2"/>
  <c r="J540" i="2" s="1"/>
  <c r="J541" i="2" s="1"/>
  <c r="J542" i="2" s="1"/>
  <c r="G240" i="2"/>
  <c r="G33" i="2"/>
  <c r="J33" i="2" s="1"/>
  <c r="J35" i="2" s="1"/>
  <c r="J36" i="2" s="1"/>
  <c r="J37" i="2" s="1"/>
  <c r="G85" i="2"/>
  <c r="J85" i="2" s="1"/>
  <c r="J87" i="2" s="1"/>
  <c r="P87" i="2" s="1"/>
  <c r="P88" i="2" s="1"/>
  <c r="P89" i="2" s="1"/>
  <c r="G356" i="2"/>
  <c r="G383" i="2"/>
  <c r="J383" i="2" s="1"/>
  <c r="J385" i="2" s="1"/>
  <c r="P385" i="2" s="1"/>
  <c r="P386" i="2" s="1"/>
  <c r="P387" i="2" s="1"/>
  <c r="G164" i="2"/>
  <c r="J164" i="2" s="1"/>
  <c r="J166" i="2" s="1"/>
  <c r="P166" i="2" s="1"/>
  <c r="P167" i="2" s="1"/>
  <c r="P168" i="2" s="1"/>
  <c r="G290" i="2"/>
  <c r="G617" i="2"/>
  <c r="J617" i="2" s="1"/>
  <c r="J621" i="2" s="1"/>
  <c r="P621" i="2" s="1"/>
  <c r="P622" i="2" s="1"/>
  <c r="P623" i="2" s="1"/>
  <c r="G511" i="2"/>
  <c r="G408" i="2"/>
  <c r="J408" i="2" s="1"/>
  <c r="J410" i="2" s="1"/>
  <c r="P410" i="2" s="1"/>
  <c r="P411" i="2" s="1"/>
  <c r="P412" i="2" s="1"/>
  <c r="G152" i="36" s="1"/>
  <c r="G194" i="2"/>
  <c r="G396" i="2"/>
  <c r="J396" i="2" s="1"/>
  <c r="J398" i="2" s="1"/>
  <c r="P398" i="2" s="1"/>
  <c r="P399" i="2" s="1"/>
  <c r="P400" i="2" s="1"/>
  <c r="G73" i="2"/>
  <c r="J73" i="2" s="1"/>
  <c r="J75" i="2" s="1"/>
  <c r="P75" i="2" s="1"/>
  <c r="P76" i="2" s="1"/>
  <c r="P77" i="2" s="1"/>
  <c r="G129" i="2"/>
  <c r="J129" i="2" s="1"/>
  <c r="J131" i="2" s="1"/>
  <c r="P131" i="2" s="1"/>
  <c r="P132" i="2" s="1"/>
  <c r="P133" i="2" s="1"/>
  <c r="G498" i="2"/>
  <c r="J498" i="2" s="1"/>
  <c r="J502" i="2" s="1"/>
  <c r="P502" i="2" s="1"/>
  <c r="P503" i="2" s="1"/>
  <c r="P504" i="2" s="1"/>
  <c r="G546" i="2" s="1"/>
  <c r="G421" i="2"/>
  <c r="G121" i="33" l="1"/>
  <c r="G128" i="36"/>
  <c r="G122" i="37"/>
  <c r="J5" i="2"/>
  <c r="J7" i="2" s="1"/>
  <c r="J8" i="2" s="1"/>
  <c r="J9" i="2" s="1"/>
  <c r="G12" i="2"/>
  <c r="J12" i="2" s="1"/>
  <c r="J14" i="2" s="1"/>
  <c r="J15" i="2" s="1"/>
  <c r="J16" i="2" s="1"/>
  <c r="G89" i="36"/>
  <c r="G90" i="37"/>
  <c r="G89" i="33"/>
  <c r="G137" i="36"/>
  <c r="G131" i="37"/>
  <c r="G131" i="33"/>
  <c r="G132" i="37"/>
  <c r="G138" i="36"/>
  <c r="G130" i="33"/>
  <c r="J96" i="2"/>
  <c r="J98" i="2" s="1"/>
  <c r="P98" i="2" s="1"/>
  <c r="P99" i="2" s="1"/>
  <c r="P100" i="2" s="1"/>
  <c r="G107" i="2"/>
  <c r="G139" i="36"/>
  <c r="G132" i="33"/>
  <c r="G133" i="37"/>
  <c r="J356" i="2"/>
  <c r="J358" i="2" s="1"/>
  <c r="P358" i="2" s="1"/>
  <c r="P359" i="2" s="1"/>
  <c r="P360" i="2" s="1"/>
  <c r="G369" i="2"/>
  <c r="J369" i="2" s="1"/>
  <c r="J371" i="2" s="1"/>
  <c r="P371" i="2" s="1"/>
  <c r="P372" i="2" s="1"/>
  <c r="P373" i="2" s="1"/>
  <c r="G184" i="2"/>
  <c r="J184" i="2" s="1"/>
  <c r="J186" i="2" s="1"/>
  <c r="P186" i="2" s="1"/>
  <c r="P187" i="2" s="1"/>
  <c r="P188" i="2" s="1"/>
  <c r="J174" i="2"/>
  <c r="J176" i="2" s="1"/>
  <c r="P176" i="2" s="1"/>
  <c r="P177" i="2" s="1"/>
  <c r="P178" i="2" s="1"/>
  <c r="J194" i="2"/>
  <c r="J196" i="2" s="1"/>
  <c r="P196" i="2" s="1"/>
  <c r="P197" i="2" s="1"/>
  <c r="P198" i="2" s="1"/>
  <c r="G205" i="2"/>
  <c r="G90" i="33"/>
  <c r="G90" i="36"/>
  <c r="G91" i="37"/>
  <c r="G85" i="33"/>
  <c r="G82" i="33"/>
  <c r="G82" i="36"/>
  <c r="G86" i="37"/>
  <c r="G85" i="36"/>
  <c r="G83" i="37"/>
  <c r="G83" i="33"/>
  <c r="G84" i="37"/>
  <c r="G83" i="36"/>
  <c r="G76" i="33"/>
  <c r="G79" i="33" s="1"/>
  <c r="G10" i="33" s="1"/>
  <c r="H10" i="33" s="1"/>
  <c r="G77" i="37"/>
  <c r="G80" i="37" s="1"/>
  <c r="G10" i="37" s="1"/>
  <c r="H10" i="37" s="1"/>
  <c r="G76" i="36"/>
  <c r="G79" i="36" s="1"/>
  <c r="G10" i="36" s="1"/>
  <c r="H10" i="36" s="1"/>
  <c r="G253" i="2"/>
  <c r="J253" i="2" s="1"/>
  <c r="J255" i="2" s="1"/>
  <c r="P255" i="2" s="1"/>
  <c r="P256" i="2" s="1"/>
  <c r="P257" i="2" s="1"/>
  <c r="J240" i="2"/>
  <c r="J242" i="2" s="1"/>
  <c r="P242" i="2" s="1"/>
  <c r="P243" i="2" s="1"/>
  <c r="P244" i="2" s="1"/>
  <c r="G266" i="2"/>
  <c r="G115" i="33"/>
  <c r="G116" i="33"/>
  <c r="G549" i="2"/>
  <c r="J543" i="2"/>
  <c r="G601" i="2" s="1"/>
  <c r="J601" i="2" s="1"/>
  <c r="G555" i="2"/>
  <c r="J548" i="2"/>
  <c r="G520" i="2"/>
  <c r="J520" i="2" s="1"/>
  <c r="J523" i="2" s="1"/>
  <c r="P523" i="2" s="1"/>
  <c r="P524" i="2" s="1"/>
  <c r="P525" i="2" s="1"/>
  <c r="J511" i="2"/>
  <c r="J513" i="2" s="1"/>
  <c r="P513" i="2" s="1"/>
  <c r="P514" i="2" s="1"/>
  <c r="P515" i="2" s="1"/>
  <c r="G547" i="2" s="1"/>
  <c r="G432" i="2"/>
  <c r="J421" i="2"/>
  <c r="J423" i="2" s="1"/>
  <c r="P423" i="2" s="1"/>
  <c r="P424" i="2" s="1"/>
  <c r="P425" i="2" s="1"/>
  <c r="G93" i="33"/>
  <c r="G93" i="36"/>
  <c r="G94" i="37"/>
  <c r="J546" i="2"/>
  <c r="G553" i="2"/>
  <c r="G299" i="2"/>
  <c r="J290" i="2"/>
  <c r="J292" i="2" s="1"/>
  <c r="P292" i="2" s="1"/>
  <c r="P293" i="2" s="1"/>
  <c r="P294" i="2" s="1"/>
  <c r="J41" i="2"/>
  <c r="J43" i="2" s="1"/>
  <c r="J44" i="2" s="1"/>
  <c r="J45" i="2" s="1"/>
  <c r="G53" i="2"/>
  <c r="J53" i="2" s="1"/>
  <c r="J54" i="2" s="1"/>
  <c r="J55" i="2" s="1"/>
  <c r="J56" i="2" s="1"/>
  <c r="G554" i="2" l="1"/>
  <c r="J547" i="2"/>
  <c r="G124" i="37"/>
  <c r="G123" i="33"/>
  <c r="G130" i="36"/>
  <c r="G141" i="2"/>
  <c r="J107" i="2"/>
  <c r="J109" i="2" s="1"/>
  <c r="P109" i="2" s="1"/>
  <c r="P110" i="2" s="1"/>
  <c r="P111" i="2" s="1"/>
  <c r="G561" i="2"/>
  <c r="J561" i="2" s="1"/>
  <c r="J553" i="2"/>
  <c r="G568" i="2"/>
  <c r="G91" i="36"/>
  <c r="G92" i="37"/>
  <c r="G91" i="33"/>
  <c r="G279" i="2"/>
  <c r="J279" i="2" s="1"/>
  <c r="J281" i="2" s="1"/>
  <c r="P281" i="2" s="1"/>
  <c r="P282" i="2" s="1"/>
  <c r="P283" i="2" s="1"/>
  <c r="G108" i="36" s="1"/>
  <c r="J266" i="2"/>
  <c r="J268" i="2" s="1"/>
  <c r="P268" i="2" s="1"/>
  <c r="P269" i="2" s="1"/>
  <c r="P270" i="2" s="1"/>
  <c r="G109" i="36" s="1"/>
  <c r="G110" i="33"/>
  <c r="G112" i="33" s="1"/>
  <c r="G15" i="33" s="1"/>
  <c r="H15" i="33" s="1"/>
  <c r="G111" i="37"/>
  <c r="G113" i="37" s="1"/>
  <c r="G15" i="37" s="1"/>
  <c r="H15" i="37" s="1"/>
  <c r="G113" i="36"/>
  <c r="G115" i="36" s="1"/>
  <c r="G15" i="36" s="1"/>
  <c r="H15" i="36" s="1"/>
  <c r="G134" i="33"/>
  <c r="G17" i="33" s="1"/>
  <c r="H17" i="33" s="1"/>
  <c r="G571" i="2"/>
  <c r="J555" i="2"/>
  <c r="G563" i="2"/>
  <c r="J563" i="2" s="1"/>
  <c r="G106" i="37"/>
  <c r="G105" i="33"/>
  <c r="G106" i="36"/>
  <c r="G586" i="2"/>
  <c r="J586" i="2" s="1"/>
  <c r="G570" i="2"/>
  <c r="J570" i="2" s="1"/>
  <c r="G608" i="2"/>
  <c r="J608" i="2" s="1"/>
  <c r="G107" i="36"/>
  <c r="G107" i="37"/>
  <c r="G106" i="33"/>
  <c r="J205" i="2"/>
  <c r="J207" i="2" s="1"/>
  <c r="P207" i="2" s="1"/>
  <c r="P208" i="2" s="1"/>
  <c r="P209" i="2" s="1"/>
  <c r="G216" i="2"/>
  <c r="G82" i="37"/>
  <c r="G81" i="33"/>
  <c r="G81" i="36"/>
  <c r="G124" i="33"/>
  <c r="G131" i="36"/>
  <c r="G125" i="37"/>
  <c r="G310" i="2"/>
  <c r="J299" i="2"/>
  <c r="J303" i="2" s="1"/>
  <c r="P303" i="2" s="1"/>
  <c r="P304" i="2" s="1"/>
  <c r="P305" i="2" s="1"/>
  <c r="G84" i="33"/>
  <c r="G85" i="37"/>
  <c r="G84" i="36"/>
  <c r="G117" i="37"/>
  <c r="G116" i="37"/>
  <c r="G120" i="37"/>
  <c r="G121" i="37"/>
  <c r="G135" i="37"/>
  <c r="G17" i="37" s="1"/>
  <c r="H17" i="37" s="1"/>
  <c r="G556" i="2"/>
  <c r="J549" i="2"/>
  <c r="J550" i="2" s="1"/>
  <c r="G145" i="33"/>
  <c r="G165" i="36"/>
  <c r="G146" i="37"/>
  <c r="J432" i="2"/>
  <c r="J434" i="2" s="1"/>
  <c r="P434" i="2" s="1"/>
  <c r="P435" i="2" s="1"/>
  <c r="P436" i="2" s="1"/>
  <c r="G157" i="36" s="1"/>
  <c r="G443" i="2"/>
  <c r="G118" i="36"/>
  <c r="G122" i="33"/>
  <c r="G129" i="36"/>
  <c r="G123" i="37"/>
  <c r="G124" i="36"/>
  <c r="G141" i="36"/>
  <c r="G17" i="36" s="1"/>
  <c r="H17" i="36" s="1"/>
  <c r="G109" i="37" l="1"/>
  <c r="G14" i="37" s="1"/>
  <c r="H14" i="37" s="1"/>
  <c r="G88" i="37"/>
  <c r="G11" i="37" s="1"/>
  <c r="H11" i="37" s="1"/>
  <c r="G87" i="33"/>
  <c r="G11" i="33" s="1"/>
  <c r="H11" i="33" s="1"/>
  <c r="J443" i="2"/>
  <c r="J445" i="2" s="1"/>
  <c r="P445" i="2" s="1"/>
  <c r="P446" i="2" s="1"/>
  <c r="P447" i="2" s="1"/>
  <c r="G158" i="36" s="1"/>
  <c r="G455" i="2"/>
  <c r="G92" i="33"/>
  <c r="G95" i="33" s="1"/>
  <c r="G12" i="33" s="1"/>
  <c r="H12" i="33" s="1"/>
  <c r="G92" i="36"/>
  <c r="G95" i="36" s="1"/>
  <c r="G12" i="36" s="1"/>
  <c r="H12" i="36" s="1"/>
  <c r="G93" i="37"/>
  <c r="G96" i="37" s="1"/>
  <c r="G12" i="37" s="1"/>
  <c r="H12" i="37" s="1"/>
  <c r="G166" i="36"/>
  <c r="G146" i="33"/>
  <c r="G147" i="37"/>
  <c r="J216" i="2"/>
  <c r="J218" i="2" s="1"/>
  <c r="P218" i="2" s="1"/>
  <c r="P219" i="2" s="1"/>
  <c r="P220" i="2" s="1"/>
  <c r="G227" i="2"/>
  <c r="J227" i="2" s="1"/>
  <c r="J229" i="2" s="1"/>
  <c r="P229" i="2" s="1"/>
  <c r="P230" i="2" s="1"/>
  <c r="P231" i="2" s="1"/>
  <c r="G111" i="36"/>
  <c r="G14" i="36" s="1"/>
  <c r="H14" i="36" s="1"/>
  <c r="G153" i="2"/>
  <c r="J153" i="2" s="1"/>
  <c r="J155" i="2" s="1"/>
  <c r="P155" i="2" s="1"/>
  <c r="P156" i="2" s="1"/>
  <c r="P157" i="2" s="1"/>
  <c r="G119" i="33" s="1"/>
  <c r="J141" i="2"/>
  <c r="J143" i="2" s="1"/>
  <c r="P143" i="2" s="1"/>
  <c r="P144" i="2" s="1"/>
  <c r="P145" i="2" s="1"/>
  <c r="G125" i="36"/>
  <c r="G125" i="33"/>
  <c r="G132" i="36"/>
  <c r="G126" i="37"/>
  <c r="G108" i="33"/>
  <c r="G14" i="33" s="1"/>
  <c r="H14" i="33" s="1"/>
  <c r="J310" i="2"/>
  <c r="J314" i="2" s="1"/>
  <c r="P314" i="2" s="1"/>
  <c r="P315" i="2" s="1"/>
  <c r="P316" i="2" s="1"/>
  <c r="G325" i="2"/>
  <c r="G577" i="2"/>
  <c r="J568" i="2"/>
  <c r="G119" i="36"/>
  <c r="J556" i="2"/>
  <c r="G564" i="2"/>
  <c r="J564" i="2" s="1"/>
  <c r="G572" i="2"/>
  <c r="G87" i="36"/>
  <c r="G11" i="36" s="1"/>
  <c r="H11" i="36" s="1"/>
  <c r="G579" i="2"/>
  <c r="J571" i="2"/>
  <c r="G562" i="2"/>
  <c r="J562" i="2" s="1"/>
  <c r="J565" i="2" s="1"/>
  <c r="G569" i="2"/>
  <c r="J554" i="2"/>
  <c r="J557" i="2" s="1"/>
  <c r="G98" i="33" l="1"/>
  <c r="G98" i="36"/>
  <c r="G99" i="36"/>
  <c r="G99" i="37"/>
  <c r="G126" i="36"/>
  <c r="G127" i="36"/>
  <c r="G98" i="37"/>
  <c r="G97" i="36"/>
  <c r="G97" i="33"/>
  <c r="G466" i="2"/>
  <c r="J455" i="2"/>
  <c r="J457" i="2" s="1"/>
  <c r="P457" i="2" s="1"/>
  <c r="P458" i="2" s="1"/>
  <c r="P459" i="2" s="1"/>
  <c r="G159" i="36" s="1"/>
  <c r="J579" i="2"/>
  <c r="G594" i="2"/>
  <c r="G587" i="2"/>
  <c r="G126" i="33"/>
  <c r="G128" i="33" s="1"/>
  <c r="G16" i="33" s="1"/>
  <c r="H16" i="33" s="1"/>
  <c r="G133" i="36"/>
  <c r="G127" i="37"/>
  <c r="G129" i="37" s="1"/>
  <c r="G16" i="37" s="1"/>
  <c r="H16" i="37" s="1"/>
  <c r="G578" i="2"/>
  <c r="J569" i="2"/>
  <c r="G121" i="36"/>
  <c r="G120" i="36"/>
  <c r="G338" i="2"/>
  <c r="J338" i="2" s="1"/>
  <c r="J325" i="2"/>
  <c r="G580" i="2"/>
  <c r="J572" i="2"/>
  <c r="G592" i="2"/>
  <c r="J577" i="2"/>
  <c r="G584" i="2"/>
  <c r="J584" i="2" s="1"/>
  <c r="G148" i="37"/>
  <c r="G151" i="37" s="1"/>
  <c r="G19" i="37" s="1"/>
  <c r="H19" i="37" s="1"/>
  <c r="G167" i="36"/>
  <c r="G170" i="36" s="1"/>
  <c r="G20" i="36" s="1"/>
  <c r="H20" i="36" s="1"/>
  <c r="G147" i="33"/>
  <c r="G150" i="33" s="1"/>
  <c r="G19" i="33" s="1"/>
  <c r="H19" i="33" s="1"/>
  <c r="J573" i="2" l="1"/>
  <c r="J592" i="2"/>
  <c r="G606" i="2"/>
  <c r="J606" i="2" s="1"/>
  <c r="G598" i="2"/>
  <c r="J598" i="2" s="1"/>
  <c r="G593" i="2"/>
  <c r="J578" i="2"/>
  <c r="J581" i="2" s="1"/>
  <c r="G585" i="2"/>
  <c r="J585" i="2" s="1"/>
  <c r="G595" i="2"/>
  <c r="J580" i="2"/>
  <c r="G588" i="2"/>
  <c r="J588" i="2" s="1"/>
  <c r="G487" i="2"/>
  <c r="J487" i="2" s="1"/>
  <c r="J489" i="2" s="1"/>
  <c r="P489" i="2" s="1"/>
  <c r="P490" i="2" s="1"/>
  <c r="P491" i="2" s="1"/>
  <c r="G160" i="36" s="1"/>
  <c r="J466" i="2"/>
  <c r="J468" i="2" s="1"/>
  <c r="P468" i="2" s="1"/>
  <c r="P469" i="2" s="1"/>
  <c r="P470" i="2" s="1"/>
  <c r="G161" i="36" s="1"/>
  <c r="G163" i="36" s="1"/>
  <c r="G19" i="36" s="1"/>
  <c r="H19" i="36" s="1"/>
  <c r="G478" i="2"/>
  <c r="J478" i="2" s="1"/>
  <c r="J479" i="2" s="1"/>
  <c r="P479" i="2" s="1"/>
  <c r="P480" i="2" s="1"/>
  <c r="P481" i="2" s="1"/>
  <c r="J326" i="2"/>
  <c r="J327" i="2" s="1"/>
  <c r="P327" i="2" s="1"/>
  <c r="P328" i="2" s="1"/>
  <c r="P329" i="2" s="1"/>
  <c r="J339" i="2"/>
  <c r="J340" i="2" s="1"/>
  <c r="P340" i="2" s="1"/>
  <c r="P341" i="2" s="1"/>
  <c r="P342" i="2" s="1"/>
  <c r="J594" i="2"/>
  <c r="G609" i="2"/>
  <c r="J609" i="2" s="1"/>
  <c r="J589" i="2"/>
  <c r="G102" i="36" s="1"/>
  <c r="G135" i="36"/>
  <c r="G16" i="36" s="1"/>
  <c r="H16" i="36" s="1"/>
  <c r="J587" i="2"/>
  <c r="G600" i="2"/>
  <c r="J600" i="2" s="1"/>
  <c r="G100" i="33" l="1"/>
  <c r="G102" i="37"/>
  <c r="G101" i="36"/>
  <c r="G101" i="33"/>
  <c r="G101" i="37"/>
  <c r="J593" i="2"/>
  <c r="G607" i="2"/>
  <c r="J607" i="2" s="1"/>
  <c r="J611" i="2" s="1"/>
  <c r="G599" i="2"/>
  <c r="J599" i="2" s="1"/>
  <c r="J602" i="2" s="1"/>
  <c r="J595" i="2"/>
  <c r="G610" i="2"/>
  <c r="J610" i="2" s="1"/>
  <c r="J596" i="2" l="1"/>
  <c r="G99" i="33"/>
  <c r="G103" i="33" s="1"/>
  <c r="G13" i="33" s="1"/>
  <c r="G100" i="36"/>
  <c r="G104" i="36" s="1"/>
  <c r="G13" i="36" s="1"/>
  <c r="G100" i="37"/>
  <c r="G104" i="37" s="1"/>
  <c r="G13" i="37" s="1"/>
  <c r="G21" i="37" l="1"/>
  <c r="G23" i="37" s="1"/>
  <c r="G24" i="37" s="1"/>
  <c r="G13" i="35" s="1"/>
  <c r="H13" i="37"/>
  <c r="H21" i="37" s="1"/>
  <c r="H23" i="37" s="1"/>
  <c r="H24" i="37" s="1"/>
  <c r="G25" i="36"/>
  <c r="G12" i="35" s="1"/>
  <c r="H13" i="36"/>
  <c r="H22" i="36" s="1"/>
  <c r="H24" i="36" s="1"/>
  <c r="H25" i="36" s="1"/>
  <c r="G21" i="33"/>
  <c r="G23" i="33" s="1"/>
  <c r="G24" i="33" s="1"/>
  <c r="G10" i="35" s="1"/>
  <c r="H10" i="35" s="1"/>
  <c r="H13" i="33"/>
  <c r="H21" i="33" s="1"/>
  <c r="H23" i="33" s="1"/>
  <c r="H24" i="33" s="1"/>
  <c r="D13" i="38" l="1"/>
  <c r="G11" i="35"/>
  <c r="D17" i="38"/>
  <c r="H12" i="35"/>
  <c r="D19" i="38"/>
  <c r="H13" i="35"/>
  <c r="G16" i="35"/>
  <c r="G18" i="35" s="1"/>
  <c r="G19" i="35" s="1"/>
  <c r="D15" i="38" l="1"/>
  <c r="D22" i="38" s="1"/>
  <c r="E15" i="38" s="1"/>
  <c r="H15" i="38" s="1"/>
  <c r="I15" i="38" s="1"/>
  <c r="J15" i="38" s="1"/>
  <c r="K15" i="38" s="1"/>
  <c r="L15" i="38" s="1"/>
  <c r="M15" i="38" s="1"/>
  <c r="N15" i="38" s="1"/>
  <c r="O15" i="38" s="1"/>
  <c r="P15" i="38" s="1"/>
  <c r="Q15" i="38" s="1"/>
  <c r="H11" i="35"/>
  <c r="H16" i="35" s="1"/>
  <c r="H18" i="35" s="1"/>
  <c r="H19" i="35" s="1"/>
  <c r="E17" i="38"/>
  <c r="I17" i="38" s="1"/>
  <c r="J17" i="38" s="1"/>
  <c r="K17" i="38" s="1"/>
  <c r="L17" i="38" s="1"/>
  <c r="M17" i="38" s="1"/>
  <c r="N17" i="38" s="1"/>
  <c r="O17" i="38" s="1"/>
  <c r="P17" i="38" s="1"/>
  <c r="Q17" i="38" s="1"/>
  <c r="R17" i="38" s="1"/>
  <c r="S17" i="38" s="1"/>
  <c r="E13" i="38"/>
  <c r="E19" i="38" l="1"/>
  <c r="O19" i="38" s="1"/>
  <c r="P19" i="38" s="1"/>
  <c r="Q19" i="38" s="1"/>
  <c r="R19" i="38" s="1"/>
  <c r="S19" i="38" s="1"/>
  <c r="T19" i="38" s="1"/>
  <c r="U19" i="38" s="1"/>
  <c r="U25" i="38" s="1"/>
  <c r="F13" i="38"/>
  <c r="E22" i="38"/>
  <c r="R15" i="38"/>
  <c r="R25" i="38" s="1"/>
  <c r="Q25" i="38"/>
  <c r="T17" i="38"/>
  <c r="T25" i="38" s="1"/>
  <c r="S25" i="38" l="1"/>
  <c r="F25" i="38"/>
  <c r="F26" i="38" s="1"/>
  <c r="G13" i="38"/>
  <c r="H13" i="38" l="1"/>
  <c r="G25" i="38"/>
  <c r="G26" i="38" s="1"/>
  <c r="H25" i="38" l="1"/>
  <c r="H26" i="38" s="1"/>
  <c r="I13" i="38"/>
  <c r="J13" i="38" l="1"/>
  <c r="I25" i="38"/>
  <c r="I26" i="38" s="1"/>
  <c r="J25" i="38" l="1"/>
  <c r="J26" i="38" s="1"/>
  <c r="K13" i="38"/>
  <c r="L13" i="38" l="1"/>
  <c r="K25" i="38"/>
  <c r="K26" i="38" s="1"/>
  <c r="L25" i="38" l="1"/>
  <c r="L26" i="38" s="1"/>
  <c r="M13" i="38"/>
  <c r="N13" i="38" l="1"/>
  <c r="M25" i="38"/>
  <c r="M26" i="38" s="1"/>
  <c r="O13" i="38" l="1"/>
  <c r="N25" i="38"/>
  <c r="N26" i="38" s="1"/>
  <c r="P13" i="38" l="1"/>
  <c r="P25" i="38" s="1"/>
  <c r="O25" i="38"/>
  <c r="O26" i="38" s="1"/>
  <c r="P26" i="38" l="1"/>
  <c r="Q26" i="38" s="1"/>
  <c r="R26" i="38" s="1"/>
  <c r="S26" i="38" s="1"/>
  <c r="T26" i="38" s="1"/>
  <c r="U26" i="38" s="1"/>
</calcChain>
</file>

<file path=xl/sharedStrings.xml><?xml version="1.0" encoding="utf-8"?>
<sst xmlns="http://schemas.openxmlformats.org/spreadsheetml/2006/main" count="3506" uniqueCount="529">
  <si>
    <t>No.</t>
  </si>
  <si>
    <t>Volume</t>
  </si>
  <si>
    <t>(Rp.)</t>
  </si>
  <si>
    <t>I</t>
  </si>
  <si>
    <t>II</t>
  </si>
  <si>
    <t>III</t>
  </si>
  <si>
    <t>IV</t>
  </si>
  <si>
    <t>VII</t>
  </si>
  <si>
    <t>Rp.</t>
  </si>
  <si>
    <t>+</t>
  </si>
  <si>
    <t>NO.</t>
  </si>
  <si>
    <t xml:space="preserve"> </t>
  </si>
  <si>
    <t>A.</t>
  </si>
  <si>
    <t>=</t>
  </si>
  <si>
    <t>Kepala Tukang Batu</t>
  </si>
  <si>
    <t>@</t>
  </si>
  <si>
    <t>M3</t>
  </si>
  <si>
    <t>Kg</t>
  </si>
  <si>
    <t>Zak</t>
  </si>
  <si>
    <t>B.</t>
  </si>
  <si>
    <t>Pasir Urug.</t>
  </si>
  <si>
    <t>C.</t>
  </si>
  <si>
    <t>Bh</t>
  </si>
  <si>
    <t>M2</t>
  </si>
  <si>
    <t>Lbr</t>
  </si>
  <si>
    <t>D</t>
  </si>
  <si>
    <t xml:space="preserve">            </t>
  </si>
  <si>
    <t>Bendrat.</t>
  </si>
  <si>
    <t>c. Begesting</t>
  </si>
  <si>
    <t>Pasir Pasang</t>
  </si>
  <si>
    <t>Split 2/3 Cm.</t>
  </si>
  <si>
    <t>1</t>
  </si>
  <si>
    <t>2</t>
  </si>
  <si>
    <t>Ls</t>
  </si>
  <si>
    <t>G</t>
  </si>
  <si>
    <t>b. 1 Kg Pembesian Dengan Besi Polos / Ulir</t>
  </si>
  <si>
    <t>Multiplek 9 mm</t>
  </si>
  <si>
    <t>M'</t>
  </si>
  <si>
    <t>V</t>
  </si>
  <si>
    <t>VI</t>
  </si>
  <si>
    <t>VIII</t>
  </si>
  <si>
    <t>IX</t>
  </si>
  <si>
    <t>M '</t>
  </si>
  <si>
    <t xml:space="preserve">Pc </t>
  </si>
  <si>
    <t>Org</t>
  </si>
  <si>
    <t>PC</t>
  </si>
  <si>
    <t>%</t>
  </si>
  <si>
    <t>Pc  Warna</t>
  </si>
  <si>
    <t>Scalfolding</t>
  </si>
  <si>
    <t>Unt</t>
  </si>
  <si>
    <t>M1</t>
  </si>
  <si>
    <t>Urug pasir bawah pondasi</t>
  </si>
  <si>
    <t>Urug tanah kembali</t>
  </si>
  <si>
    <t>Urug pasir bawah lantai</t>
  </si>
  <si>
    <t>X</t>
  </si>
  <si>
    <t>XI</t>
  </si>
  <si>
    <t>Seal Tape</t>
  </si>
  <si>
    <t>floordrain</t>
  </si>
  <si>
    <t>kg</t>
  </si>
  <si>
    <t>DAFTAR ANALISA</t>
  </si>
  <si>
    <t>PC. Holcim</t>
  </si>
  <si>
    <t>Pekerjaan</t>
  </si>
  <si>
    <t>m3</t>
  </si>
  <si>
    <t xml:space="preserve"> = Rp.</t>
  </si>
  <si>
    <t>-</t>
  </si>
  <si>
    <t>Pipa PVC Wavin Dia. 4 " sekualitas</t>
  </si>
  <si>
    <t>Pipa PVC Wavin Dia. 1 " sekualitas</t>
  </si>
  <si>
    <t>Pipa PVC Wavin Dia. 3 / 4 " sekualitas</t>
  </si>
  <si>
    <t>m2</t>
  </si>
  <si>
    <t xml:space="preserve">Pasir Pasang </t>
  </si>
  <si>
    <t xml:space="preserve"> 1 M2 Trasram Bata Camp. 1Pc : 4Ps</t>
  </si>
  <si>
    <t>bh</t>
  </si>
  <si>
    <t>org</t>
  </si>
  <si>
    <t>m1</t>
  </si>
  <si>
    <r>
      <t>m</t>
    </r>
    <r>
      <rPr>
        <vertAlign val="superscript"/>
        <sz val="12"/>
        <rFont val="Arial Narrow"/>
        <family val="2"/>
      </rPr>
      <t>3</t>
    </r>
  </si>
  <si>
    <t>Portland Cement (PC)</t>
  </si>
  <si>
    <t>lbr</t>
  </si>
  <si>
    <t>Gypsum board 9 mm</t>
  </si>
  <si>
    <t>roll</t>
  </si>
  <si>
    <t>Alkasit</t>
  </si>
  <si>
    <t>set</t>
  </si>
  <si>
    <t>Schafolding</t>
  </si>
  <si>
    <t>Unit</t>
  </si>
  <si>
    <t>m'</t>
  </si>
  <si>
    <t xml:space="preserve">Kaso-kaso (5x7)cm Glugu </t>
  </si>
  <si>
    <t>btg</t>
  </si>
  <si>
    <t>Plywood tebal 9 mm</t>
  </si>
  <si>
    <t>3</t>
  </si>
  <si>
    <t>4</t>
  </si>
  <si>
    <t>5</t>
  </si>
  <si>
    <t>6</t>
  </si>
  <si>
    <t>7</t>
  </si>
  <si>
    <t>Pipa PVC Wavin Dia. 2,5 " sekualitas</t>
  </si>
  <si>
    <t>OH</t>
  </si>
  <si>
    <t>motor grader</t>
  </si>
  <si>
    <t>tandem roller</t>
  </si>
  <si>
    <t>bulldozer</t>
  </si>
  <si>
    <t>vibrator roller</t>
  </si>
  <si>
    <t>jam</t>
  </si>
  <si>
    <t>Split D 1 - 2 cm</t>
  </si>
  <si>
    <t>Set</t>
  </si>
  <si>
    <t>Kaso-kaso (5x7)cm Kayu Lokal</t>
  </si>
  <si>
    <t>Asesories</t>
  </si>
  <si>
    <t>Sealtape</t>
  </si>
  <si>
    <t>1 M3 Mengurug Tanah mendatangkan</t>
  </si>
  <si>
    <t>Tanah mendatangkan</t>
  </si>
  <si>
    <t xml:space="preserve">1 M3 Urugan dan Pemadatan tanah </t>
  </si>
  <si>
    <t>Tanah Urug</t>
  </si>
  <si>
    <t>m '</t>
  </si>
  <si>
    <t>8</t>
  </si>
  <si>
    <t>9</t>
  </si>
  <si>
    <t>10</t>
  </si>
  <si>
    <t>11</t>
  </si>
  <si>
    <t xml:space="preserve">Slot Pintu  </t>
  </si>
  <si>
    <t>PC. ( Portland Cement)</t>
  </si>
  <si>
    <t>LUAS</t>
  </si>
  <si>
    <t>TOTAL</t>
  </si>
  <si>
    <t>PANJANG</t>
  </si>
  <si>
    <t>Urugan Tanah</t>
  </si>
  <si>
    <t>JUMLAH  SUB   VIII  DIPINDAHKAN KE REKAPITULASI</t>
  </si>
  <si>
    <t>Floordrain</t>
  </si>
  <si>
    <t>kalsiplang</t>
  </si>
  <si>
    <t>Profil alumunium</t>
  </si>
  <si>
    <t>Sealent</t>
  </si>
  <si>
    <t>tube</t>
  </si>
  <si>
    <t>12</t>
  </si>
  <si>
    <t>P2</t>
  </si>
  <si>
    <t>J3</t>
  </si>
  <si>
    <t>Gypsum board</t>
  </si>
  <si>
    <r>
      <t>m</t>
    </r>
    <r>
      <rPr>
        <vertAlign val="superscript"/>
        <sz val="12"/>
        <rFont val="Arial Narrow"/>
        <family val="2"/>
      </rPr>
      <t>1</t>
    </r>
  </si>
  <si>
    <t>13</t>
  </si>
  <si>
    <t>: 216 M2</t>
  </si>
  <si>
    <t>P1</t>
  </si>
  <si>
    <t>Septiktank</t>
  </si>
  <si>
    <t>: 144 M2</t>
  </si>
  <si>
    <t>: 64 M2</t>
  </si>
  <si>
    <t>Alluminium</t>
  </si>
  <si>
    <t>Plafond gypsum</t>
  </si>
  <si>
    <t>Sloot pintu</t>
  </si>
  <si>
    <t>Pkm</t>
  </si>
  <si>
    <t>JENIS PEKERJAAN</t>
  </si>
  <si>
    <t>100%</t>
  </si>
  <si>
    <t>50%</t>
  </si>
  <si>
    <t>2018</t>
  </si>
  <si>
    <t>0%</t>
  </si>
  <si>
    <t>Quantity</t>
  </si>
  <si>
    <t>Loc</t>
  </si>
  <si>
    <t>Qty</t>
  </si>
  <si>
    <t>Frek</t>
  </si>
  <si>
    <t>MEUBELAIR</t>
  </si>
  <si>
    <t>PERIOD</t>
  </si>
  <si>
    <t>LOCATION</t>
  </si>
  <si>
    <t>PROJECT</t>
  </si>
  <si>
    <t xml:space="preserve">Weekly Plan </t>
  </si>
  <si>
    <t>Weekly Cumulative Plan</t>
  </si>
  <si>
    <t>= REALIZATION</t>
  </si>
  <si>
    <t>= PLAN</t>
  </si>
  <si>
    <t>NOTE :</t>
  </si>
  <si>
    <t>Weekly  Realization</t>
  </si>
  <si>
    <t>Deviation</t>
  </si>
  <si>
    <t>MOUNTH 1</t>
  </si>
  <si>
    <t>W - 1</t>
  </si>
  <si>
    <t>W- 2</t>
  </si>
  <si>
    <t>W - 3</t>
  </si>
  <si>
    <t>W - 4</t>
  </si>
  <si>
    <t>W - 5</t>
  </si>
  <si>
    <t>W - 6</t>
  </si>
  <si>
    <t>W - 7</t>
  </si>
  <si>
    <t>W- 8</t>
  </si>
  <si>
    <t>W - 9</t>
  </si>
  <si>
    <t>W- 10</t>
  </si>
  <si>
    <t>W - 11</t>
  </si>
  <si>
    <t>W - 12</t>
  </si>
  <si>
    <t>W - 13</t>
  </si>
  <si>
    <t>W - 14</t>
  </si>
  <si>
    <t>W - 15</t>
  </si>
  <si>
    <t>W - 16</t>
  </si>
  <si>
    <t>SCALE</t>
  </si>
  <si>
    <t>NOTE</t>
  </si>
  <si>
    <t>PERCENTAGE (%)</t>
  </si>
  <si>
    <t>BUDGET RECAPITULATION</t>
  </si>
  <si>
    <t xml:space="preserve">Total Price </t>
  </si>
  <si>
    <t>PREPARATION</t>
  </si>
  <si>
    <t>GROUND AND SAND WORK</t>
  </si>
  <si>
    <t>STICKING WORK</t>
  </si>
  <si>
    <t>CONCRETE WORK</t>
  </si>
  <si>
    <t>FLOOR WORK</t>
  </si>
  <si>
    <t>CEILING AND ETERNIT WORK</t>
  </si>
  <si>
    <t>WINDOW WORK</t>
  </si>
  <si>
    <t>PAINTING WORK</t>
  </si>
  <si>
    <t>ELECTRICITY WORK</t>
  </si>
  <si>
    <t>ROOF AND OTHERS</t>
  </si>
  <si>
    <t>CLASS ROOM PER 3 LOCAL</t>
  </si>
  <si>
    <t>TEACHER ROOM , TOILET AND HEADMASTER ROOM</t>
  </si>
  <si>
    <t>LIBRARY ROOM</t>
  </si>
  <si>
    <t>MEUBELAIR CLASS AND LIBRARY</t>
  </si>
  <si>
    <t>ROUNDED OFF</t>
  </si>
  <si>
    <t>NOMINAL TOTAL</t>
  </si>
  <si>
    <t>TOTAL PRICE</t>
  </si>
  <si>
    <t>SANITATION WORK</t>
  </si>
  <si>
    <t>LARGE</t>
  </si>
  <si>
    <t>RECAPITULATION BUDGET</t>
  </si>
  <si>
    <t>Total Price</t>
  </si>
  <si>
    <t>Project</t>
  </si>
  <si>
    <t>NOMIINAL TOTAL</t>
  </si>
  <si>
    <t>Rounded off</t>
  </si>
  <si>
    <t>LOCAL CLASS ROOM 7M X 8M PER 3 LOCAL</t>
  </si>
  <si>
    <t>PREPARATION WORK</t>
  </si>
  <si>
    <t xml:space="preserve">Unit Price </t>
  </si>
  <si>
    <t>Barracks materials and workers</t>
  </si>
  <si>
    <t>Mobilization workers</t>
  </si>
  <si>
    <t>Cleaning location</t>
  </si>
  <si>
    <t>Uiset and bowplank</t>
  </si>
  <si>
    <t>TOTAL OF SUB I MOVED TO RECAPITULATION</t>
  </si>
  <si>
    <t>Excavated lane foundation soil</t>
  </si>
  <si>
    <t xml:space="preserve">
Install stone foundation</t>
  </si>
  <si>
    <t xml:space="preserve">
Install bricks</t>
  </si>
  <si>
    <t xml:space="preserve">
Plastering walls</t>
  </si>
  <si>
    <t>Plastering angles and sponges</t>
  </si>
  <si>
    <t>Work floor concrete rebates</t>
  </si>
  <si>
    <t>TOTAL OF SUB II MOVED TO RECAPITULATION</t>
  </si>
  <si>
    <t>DETAIL OF BUDGETING</t>
  </si>
  <si>
    <t>TOTAL OF SUB III MOVED TO RECAPITULATION</t>
  </si>
  <si>
    <t>location/package/frequent</t>
  </si>
  <si>
    <t>location/Class/frequent</t>
  </si>
  <si>
    <t>location/unit/frequent</t>
  </si>
  <si>
    <t>30 student/class</t>
  </si>
  <si>
    <t>Unit Price</t>
  </si>
  <si>
    <t>Total</t>
  </si>
  <si>
    <t>Note</t>
  </si>
  <si>
    <t>Worker</t>
  </si>
  <si>
    <t xml:space="preserve">
Sloof concrete</t>
  </si>
  <si>
    <t>Concrete column 15/20</t>
  </si>
  <si>
    <t>Concrete latei</t>
  </si>
  <si>
    <t>Ringbalk concrete 15/20</t>
  </si>
  <si>
    <t>Concrete Beams of Mountains</t>
  </si>
  <si>
    <t>TOTAL OF SUB IV MOVED TO RECAPITULATION</t>
  </si>
  <si>
    <t>CHAIR AND TABLE FOR STUDENT</t>
  </si>
  <si>
    <t>CHAIR AND TABLE FOR TEACHER</t>
  </si>
  <si>
    <t>WHITEBOARD,MARKER , ERASER</t>
  </si>
  <si>
    <t>CHAIR AND TABLE FOR SIRCULATION</t>
  </si>
  <si>
    <t>CHAIR</t>
  </si>
  <si>
    <t>STUDY BOOK PACKAGE</t>
  </si>
  <si>
    <t>Wooden Frame</t>
  </si>
  <si>
    <t>Wooden doors and accessories</t>
  </si>
  <si>
    <t xml:space="preserve">
Door hinges</t>
  </si>
  <si>
    <t>Window Hinges</t>
  </si>
  <si>
    <t>Window latch</t>
  </si>
  <si>
    <t>TOTAL OF SUB V MOVED TO RECAPITULATION</t>
  </si>
  <si>
    <t>CUPBOARD FOR BOOK</t>
  </si>
  <si>
    <t>GENERAL BOOK PACKAGE</t>
  </si>
  <si>
    <t>TABLE GROUP</t>
  </si>
  <si>
    <t>LIBRARY EQUIPMENT (minimalis)</t>
  </si>
  <si>
    <t>BUDGET TOTAL PROGRAM</t>
  </si>
  <si>
    <t>CEILING AND ETHERNITE WORK</t>
  </si>
  <si>
    <t>KUZEN INSTALLATION WORK</t>
  </si>
  <si>
    <t>TOTAL OF SUB VI MOVED TO RECAPITULATION</t>
  </si>
  <si>
    <t>LIST OF BUILDING MATERIALS PRICE LIST</t>
  </si>
  <si>
    <t>TYPES OF BUILDING MATERIALS</t>
  </si>
  <si>
    <t>Price</t>
  </si>
  <si>
    <t>PC. Colour</t>
  </si>
  <si>
    <t xml:space="preserve">
Foreman</t>
  </si>
  <si>
    <t>Man</t>
  </si>
  <si>
    <t>1 M3 Entrenchment Land.</t>
  </si>
  <si>
    <t>1 M3 Entrenchment Deep soil 2-3 m</t>
  </si>
  <si>
    <t>Nail</t>
  </si>
  <si>
    <t>Foreman</t>
  </si>
  <si>
    <t xml:space="preserve">
Wall paint</t>
  </si>
  <si>
    <t>Special gypsum ceiling paint</t>
  </si>
  <si>
    <t>Wood paint</t>
  </si>
  <si>
    <t xml:space="preserve">
Electric socket</t>
  </si>
  <si>
    <t>Switch</t>
  </si>
  <si>
    <t xml:space="preserve">
Electrical installation wiring eterna quality</t>
  </si>
  <si>
    <t>Move the old meter</t>
  </si>
  <si>
    <t>Fuse box</t>
  </si>
  <si>
    <t>Mild steel frame</t>
  </si>
  <si>
    <t>Multiroof tile</t>
  </si>
  <si>
    <t>Multiroof Tile Ridge</t>
  </si>
  <si>
    <t>TOTAL OF SUB VII MOVED TO RECAPITULATION</t>
  </si>
  <si>
    <t>TOTAL OF SUB VIII MOVED TO RECAPITULATION</t>
  </si>
  <si>
    <t>TOTAL OF SUB IX MOVED TO RECAPITULATION</t>
  </si>
  <si>
    <t>TOTAL OF SUB X MOVED TO RECAPITULATION</t>
  </si>
  <si>
    <t>LOACTION</t>
  </si>
  <si>
    <t>1M' Bowplank measurements and pairs</t>
  </si>
  <si>
    <t xml:space="preserve">
Local wood5/7</t>
  </si>
  <si>
    <t>Wooden formwork board</t>
  </si>
  <si>
    <t xml:space="preserve">
Carpenter</t>
  </si>
  <si>
    <t>Chief carpenter</t>
  </si>
  <si>
    <t>Ceramic tile plinthes 10/40</t>
  </si>
  <si>
    <t xml:space="preserve">Lintel  Door  P2 </t>
  </si>
  <si>
    <t>Lintel Window</t>
  </si>
  <si>
    <t>Rear glass</t>
  </si>
  <si>
    <t>Window holder</t>
  </si>
  <si>
    <t xml:space="preserve">Ceramic floor tiles  40/40 </t>
  </si>
  <si>
    <t>mason</t>
  </si>
  <si>
    <t>Stone Spilt</t>
  </si>
  <si>
    <t>Mason</t>
  </si>
  <si>
    <t xml:space="preserve">Ceramic 40 X 40 </t>
  </si>
  <si>
    <t xml:space="preserve">Ceramic 30 X 30 </t>
  </si>
  <si>
    <t xml:space="preserve">Ceramic 25 X 40 </t>
  </si>
  <si>
    <t>Stone Split ( Split ) 2/3 cm.</t>
  </si>
  <si>
    <t>Chief Mason</t>
  </si>
  <si>
    <t>Sand Plug</t>
  </si>
  <si>
    <t>Sand</t>
  </si>
  <si>
    <t>Local Wood</t>
  </si>
  <si>
    <t>Worn nails 80 x 3,8 mm</t>
  </si>
  <si>
    <t>Wood glue (putih) Fox</t>
  </si>
  <si>
    <t>Fixer couplers</t>
  </si>
  <si>
    <t xml:space="preserve">
Aluminumian</t>
  </si>
  <si>
    <t xml:space="preserve">Chief </t>
  </si>
  <si>
    <t>Mirror 5 mm</t>
  </si>
  <si>
    <t>Sloot key</t>
  </si>
  <si>
    <t>Door hinges</t>
  </si>
  <si>
    <t>Window hinges</t>
  </si>
  <si>
    <t>Equipment Prices</t>
  </si>
  <si>
    <t>Excavated sand</t>
  </si>
  <si>
    <t xml:space="preserve">
Window Latch</t>
  </si>
  <si>
    <t>Window Handles</t>
  </si>
  <si>
    <t>Ceramics 40 X 40</t>
  </si>
  <si>
    <t>Pc  Colour</t>
  </si>
  <si>
    <t>chief mason</t>
  </si>
  <si>
    <t>Artistic ceramic plint</t>
  </si>
  <si>
    <t>Color cement</t>
  </si>
  <si>
    <t>Chief</t>
  </si>
  <si>
    <t xml:space="preserve">Ceramics  30/30 </t>
  </si>
  <si>
    <t>Ceramics  20 X 25</t>
  </si>
  <si>
    <t>Nail 1/2"-1"</t>
  </si>
  <si>
    <t>Light steel</t>
  </si>
  <si>
    <t xml:space="preserve">
Metal tile</t>
  </si>
  <si>
    <t>Anti-rust nails</t>
  </si>
  <si>
    <t>Metal Nok</t>
  </si>
  <si>
    <t>Screw nails</t>
  </si>
  <si>
    <t>Hollow pipe</t>
  </si>
  <si>
    <t>Wire hanging hollow frame</t>
  </si>
  <si>
    <t xml:space="preserve">
Gypsum gauze</t>
  </si>
  <si>
    <t xml:space="preserve">
Gypsum flour</t>
  </si>
  <si>
    <t xml:space="preserve">
List of cornees gypsum profiles</t>
  </si>
  <si>
    <t xml:space="preserve">
Gypsum nails</t>
  </si>
  <si>
    <t>Worn nails</t>
  </si>
  <si>
    <t xml:space="preserve">
Wall Plamir</t>
  </si>
  <si>
    <t xml:space="preserve">
Base paint</t>
  </si>
  <si>
    <t>Cover paint 2 x</t>
  </si>
  <si>
    <t xml:space="preserve">
Painter</t>
  </si>
  <si>
    <t>Chief painter</t>
  </si>
  <si>
    <t>Basic paint in wood</t>
  </si>
  <si>
    <t xml:space="preserve">
Fuji Plamur</t>
  </si>
  <si>
    <t>Cover paint</t>
  </si>
  <si>
    <t xml:space="preserve">
Squat toilet</t>
  </si>
  <si>
    <t>Pipe PVC  4 "</t>
  </si>
  <si>
    <t>Pipe Fittings</t>
  </si>
  <si>
    <t>Pipe PVC  2,5 "</t>
  </si>
  <si>
    <t>Pipe PVC  1 "</t>
  </si>
  <si>
    <t>Pipe PVC  3/4 "</t>
  </si>
  <si>
    <t xml:space="preserve">
Water faucet</t>
  </si>
  <si>
    <t xml:space="preserve">
Concrete sand</t>
  </si>
  <si>
    <t xml:space="preserve">
Blacksmith</t>
  </si>
  <si>
    <t>Chief Blacksmith</t>
  </si>
  <si>
    <t>Bone Iron (Proporsional )</t>
  </si>
  <si>
    <t>Wood</t>
  </si>
  <si>
    <t>Nails</t>
  </si>
  <si>
    <t>b. Bone Iron</t>
  </si>
  <si>
    <t>d. Unloading Cast.</t>
  </si>
  <si>
    <t>a. 
Concrete K175</t>
  </si>
  <si>
    <t>c. Scalfolding</t>
  </si>
  <si>
    <t xml:space="preserve">Rebar </t>
  </si>
  <si>
    <t xml:space="preserve">
Bendrat Iron.</t>
  </si>
  <si>
    <t xml:space="preserve">
Angkur Iron</t>
  </si>
  <si>
    <t>Concrete steel screw</t>
  </si>
  <si>
    <t xml:space="preserve">
Thick iron strip 5mm</t>
  </si>
  <si>
    <t>Alluminium door</t>
  </si>
  <si>
    <t xml:space="preserve">
Mutiroof roof tile</t>
  </si>
  <si>
    <t xml:space="preserve">
Multiroof tile roofs</t>
  </si>
  <si>
    <t>Hanging wire</t>
  </si>
  <si>
    <t>NATURAL STONE AND AGGREGATE</t>
  </si>
  <si>
    <t xml:space="preserve">
CERAMIC MATERIALS.</t>
  </si>
  <si>
    <t xml:space="preserve">
IRON AND ALLUMINUM.</t>
  </si>
  <si>
    <t xml:space="preserve">
Local Beams</t>
  </si>
  <si>
    <t xml:space="preserve">Dolken wood Ø 8 - 10/400 cm </t>
  </si>
  <si>
    <t>Wood Begesting Class III</t>
  </si>
  <si>
    <t xml:space="preserve">
Local board wood</t>
  </si>
  <si>
    <t xml:space="preserve">
Lath wood (2x3 )cm Lokal </t>
  </si>
  <si>
    <t xml:space="preserve"> 1 M3 Land levelling</t>
  </si>
  <si>
    <t xml:space="preserve">1 m2 Alumunium-framed glass window installation </t>
  </si>
  <si>
    <t>1 m' Alumunium door sill installation</t>
  </si>
  <si>
    <t>1 M2 Windor/door lintel installation</t>
  </si>
  <si>
    <t>1 M2Rear glass installation
5 mm</t>
  </si>
  <si>
    <t xml:space="preserve">Door bolt/latch installation
 1 Bh </t>
  </si>
  <si>
    <t xml:space="preserve">Door hinge installation 
1 Bh </t>
  </si>
  <si>
    <t xml:space="preserve">Window  hinge installation 1 Bh </t>
  </si>
  <si>
    <t xml:space="preserve">
Window Latches Installation 1 Bh </t>
  </si>
  <si>
    <t xml:space="preserve">Window holder installattion 1 Bh  </t>
  </si>
  <si>
    <t xml:space="preserve">Window Handles Installation 1 Bh </t>
  </si>
  <si>
    <t xml:space="preserve"> 1 M2 Ceramic flooring installation 40/40 </t>
  </si>
  <si>
    <t>1 m' Ceramic plint installation size 10 x 40 cm</t>
  </si>
  <si>
    <t xml:space="preserve"> 1 M2 Ceramic flooring installation 30 X 30 </t>
  </si>
  <si>
    <t xml:space="preserve"> 1 M2 ceramic walls installation 25 X 40 </t>
  </si>
  <si>
    <t xml:space="preserve"> 1 M2 Light-steel roof frame installation</t>
  </si>
  <si>
    <t>1 M2  roof installation metal zinc type primaroof</t>
  </si>
  <si>
    <t>1 M2 
Installing metal roof tiles U type primaroof</t>
  </si>
  <si>
    <t>1 m2 Gypsum board ceiling  with size (1200 x 2400 x 9) mm</t>
  </si>
  <si>
    <t>1 m2 Hollow frame ceiling</t>
  </si>
  <si>
    <t>1 m2 
Thick gypsum board ceiling 9 mm, rangka 60 x 120 kayu lokal</t>
  </si>
  <si>
    <t>1 m' 
Install the wide gypsum cornees profile list  5 - 10 cm</t>
  </si>
  <si>
    <t>1 M2 
New wall painting (1 layer of plamir, 1 layer of base paint, 2 layers of cover paint)</t>
  </si>
  <si>
    <t>1 m2 New wood painting (1 layer of plamir), 1 layer of base paint, 2 layers of cover paint</t>
  </si>
  <si>
    <t>1 Bh squat toilet installation</t>
  </si>
  <si>
    <t xml:space="preserve"> 1 M ' Pipe installation PVC  Dia 4 " </t>
  </si>
  <si>
    <t xml:space="preserve"> 1 M ' Pipe installation PVC  Dia 2,5 " </t>
  </si>
  <si>
    <t xml:space="preserve"> 1 M ' Pipe isntallation PVC  Dia 1 " </t>
  </si>
  <si>
    <t xml:space="preserve"> 1 M ' Pipe Installation PVC  Dia 3/4 " </t>
  </si>
  <si>
    <t xml:space="preserve"> 1 Water Faucet  Installation </t>
  </si>
  <si>
    <t xml:space="preserve"> 1 Sink water faucets  Installation </t>
  </si>
  <si>
    <t xml:space="preserve"> 1 Buah floordrain Installation</t>
  </si>
  <si>
    <t xml:space="preserve"> 1 m3 
quality concrete f’c = 14,5 MPa (K 175), slump (12 ± 2) cm, w/c = 0,66  satuan m3</t>
  </si>
  <si>
    <t>a.  1 m3 quality concrete f’c = 14,5 MPa (K 175)</t>
  </si>
  <si>
    <t xml:space="preserve">
Stutwerk for  1 M3 Iron , High 3 - 4 M  (
Using Scalfolding )</t>
  </si>
  <si>
    <t>1 M2 Begesting Installation</t>
  </si>
  <si>
    <t>d. 
Unloading Cast.</t>
  </si>
  <si>
    <t>1 M3 Reinforced Concrete For Food plat Camp. 1 Pc : 2Ps : 3Split.</t>
  </si>
  <si>
    <t>1 M3 Reinforced Concrete ForSloof  15/20  Camp. 1 Pc : 2Ps : 3Split.</t>
  </si>
  <si>
    <t>1 M3 Reinforced Concrete For practical column12/12  Camp. 1 Pc : 2Ps : 3Split.</t>
  </si>
  <si>
    <t>1 M3 Reinforced Concrete For Colum 30/30  Camp. 1 Pc : 2Ps : 3Split.</t>
  </si>
  <si>
    <t>1 M3Reinforced Concrete For Beams  12/20  Camp. 1 Pc : 2Ps : 3Split.</t>
  </si>
  <si>
    <t>1 M3 Reinforced Concrete For Beams  12/30  Camp. 1 Pc : 2Ps : 3Split.</t>
  </si>
  <si>
    <t>1 M3 Reinforced Concrete For Trucks Beams  12/15  Camp. 1 Pc : 2Ps : 3Split.</t>
  </si>
  <si>
    <t>1 M3 Reinforced Concrete For Thick Plates 5 Cm  Camp. 1 Pc : 2Ps : 3Split.</t>
  </si>
  <si>
    <t>1 M3 Reinforced Concrete For Thick Plates  10 Cm  Camp. 1 Pc : 2Ps : 3Split.</t>
  </si>
  <si>
    <t>Analys G.33a : 1 M3Mashed Concrete Camp. 1 : 3 : 5.</t>
  </si>
  <si>
    <t>1 M3 Making and installing door / window sills</t>
  </si>
  <si>
    <t xml:space="preserve"> 1 M3 excavated sand.</t>
  </si>
  <si>
    <t xml:space="preserve"> 1 M3 
Install the Split Rock. 1Pc  : 5Ps.</t>
  </si>
  <si>
    <t>Red brick</t>
  </si>
  <si>
    <t xml:space="preserve"> 1 M2 Thick Plaster 1,5 Camp. 1Pc : 4Ps</t>
  </si>
  <si>
    <t xml:space="preserve"> 1 M2 Corner Plaster / Sponging</t>
  </si>
  <si>
    <t>Wood beams</t>
  </si>
  <si>
    <t>List of plain wood glass</t>
  </si>
  <si>
    <t>Gauze</t>
  </si>
  <si>
    <t>Gypsum flour</t>
  </si>
  <si>
    <t xml:space="preserve">
Multiplex 9 mm</t>
  </si>
  <si>
    <t>Wood Begesting / Cast Boards.</t>
  </si>
  <si>
    <t>Wood glue</t>
  </si>
  <si>
    <t xml:space="preserve">
Glass 5 mm</t>
  </si>
  <si>
    <t>WOOD AND BAMBOO MATERIALS</t>
  </si>
  <si>
    <t xml:space="preserve">
Chief Carpenter</t>
  </si>
  <si>
    <t xml:space="preserve"> Carpenter</t>
  </si>
  <si>
    <t xml:space="preserve">Chief Painter </t>
  </si>
  <si>
    <t xml:space="preserve">Painter </t>
  </si>
  <si>
    <t>Chief Alluminium Artisan</t>
  </si>
  <si>
    <t>Alluminiumian</t>
  </si>
  <si>
    <t>/ day</t>
  </si>
  <si>
    <t xml:space="preserve">
TYPES OF BUILDING MATERIALS</t>
  </si>
  <si>
    <t xml:space="preserve">Unit </t>
  </si>
  <si>
    <t xml:space="preserve">
Red brick</t>
  </si>
  <si>
    <t>Equipment</t>
  </si>
  <si>
    <t>Door latch</t>
  </si>
  <si>
    <t>window latch</t>
  </si>
  <si>
    <t xml:space="preserve">
Window holder hooks</t>
  </si>
  <si>
    <t>Window Handle</t>
  </si>
  <si>
    <t xml:space="preserve">
Wood paint</t>
  </si>
  <si>
    <t>Meni Paint</t>
  </si>
  <si>
    <t>Natural stone coating</t>
  </si>
  <si>
    <t xml:space="preserve">
Sandpaper</t>
  </si>
  <si>
    <t xml:space="preserve">
Brush</t>
  </si>
  <si>
    <t>Sink water faucets</t>
  </si>
  <si>
    <t xml:space="preserve">
INA quality sink</t>
  </si>
  <si>
    <t xml:space="preserve">
LIST OF WAGES</t>
  </si>
  <si>
    <t>Dishes container</t>
  </si>
  <si>
    <t>Garden faucet and ablution area</t>
  </si>
  <si>
    <t>Squat toilet</t>
  </si>
  <si>
    <t>Wall filler</t>
  </si>
  <si>
    <t>Wood filler</t>
  </si>
  <si>
    <t>Paintbrush roll</t>
  </si>
  <si>
    <t>Ours</t>
  </si>
  <si>
    <t>PAINT MATERIALS</t>
  </si>
  <si>
    <t>SANITATION MATERIALS</t>
  </si>
  <si>
    <t xml:space="preserve">
RENT TOOL</t>
  </si>
  <si>
    <t>Gypsumboard</t>
  </si>
  <si>
    <t>List gypsum</t>
  </si>
  <si>
    <t xml:space="preserve">
ADHESIVE MATERIALS</t>
  </si>
  <si>
    <t>Motor grader</t>
  </si>
  <si>
    <t xml:space="preserve">
Split Rock</t>
  </si>
  <si>
    <t>Siding plank</t>
  </si>
  <si>
    <t>MOUNTH 2</t>
  </si>
  <si>
    <t>MOUNTH 3</t>
  </si>
  <si>
    <t>MOUNTH  4</t>
  </si>
  <si>
    <t>Rounded Off</t>
  </si>
  <si>
    <t xml:space="preserve">Budget Recapitulation </t>
  </si>
  <si>
    <t>CONCRETE WORKS</t>
  </si>
  <si>
    <t>TOTAL OF SUB IVMOVED TO RECAPITULATION</t>
  </si>
  <si>
    <t xml:space="preserve">Point </t>
  </si>
  <si>
    <t>PLESTERANT WORK</t>
  </si>
  <si>
    <t xml:space="preserve">
PLESTERANT WORK</t>
  </si>
  <si>
    <t>Lamp  18 watt + vitting</t>
  </si>
  <si>
    <t>PROJCET</t>
  </si>
  <si>
    <t>LAND AND SAND WORK</t>
  </si>
  <si>
    <t>Concrete column 15/15</t>
  </si>
  <si>
    <t>Ceramic wall toilet t :1.5 m</t>
  </si>
  <si>
    <t xml:space="preserve">
Ceramic toilet floor</t>
  </si>
  <si>
    <t>Wooden doors and Equipment</t>
  </si>
  <si>
    <t>Lintel  Door  P1</t>
  </si>
  <si>
    <t>Lintel  Door Pkm</t>
  </si>
  <si>
    <t xml:space="preserve">Lintel  Door P2 </t>
  </si>
  <si>
    <t>Lamp 18 watt + vitting</t>
  </si>
  <si>
    <t xml:space="preserve">
CONCRETE WORK</t>
  </si>
  <si>
    <t>Point</t>
  </si>
  <si>
    <t>Dirty water infiltration well</t>
  </si>
  <si>
    <t>Water reservoir + buffer</t>
  </si>
  <si>
    <t>zimitshu-quality pumping machines</t>
  </si>
  <si>
    <t>PVC 2,5" dirty water</t>
  </si>
  <si>
    <t>PVC 1" Clean Water</t>
  </si>
  <si>
    <t>PVC 3/4" Clean Water</t>
  </si>
  <si>
    <t>DETAIL OF BUDGET</t>
  </si>
  <si>
    <t>TOTAL OF SUB XI MOVED TO RECAPITULATION</t>
  </si>
  <si>
    <t>Profil Glass</t>
  </si>
  <si>
    <t>Aluminum door</t>
  </si>
  <si>
    <t>: 160 DAYS</t>
  </si>
  <si>
    <t>LIBRARY</t>
  </si>
  <si>
    <t>Detail of Budget</t>
  </si>
  <si>
    <t>: PERMANENT SCHOOL</t>
  </si>
  <si>
    <t>Description of Activities</t>
  </si>
  <si>
    <t xml:space="preserve">: PERMANENT SCHOOL </t>
  </si>
  <si>
    <t>TIMELINE OF THE PERMANENT SCHOOL</t>
  </si>
  <si>
    <t>(USD)</t>
  </si>
  <si>
    <t>Total
(Rp)</t>
  </si>
  <si>
    <t>Unit Price 
(Rp)</t>
  </si>
  <si>
    <t>Unit Price 
(USD)</t>
  </si>
  <si>
    <t>Total
USD)</t>
  </si>
  <si>
    <t>TEACHER'S ROOM, TOILET AND PRINCIPAL OFFICE</t>
  </si>
  <si>
    <t>: OUTER ISLAND - INDONESIA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</si>
</sst>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Rp&quot;* #,##0_);_(&quot;Rp&quot;* \(#,##0\);_(&quot;Rp&quot;* &quot;-&quot;_);_(@_)"/>
    <numFmt numFmtId="166" formatCode="_(&quot;Rp&quot;* #,##0.00_);_(&quot;Rp&quot;* \(#,##0.00\);_(&quot;Rp&quot;* &quot;-&quot;??_);_(@_)"/>
    <numFmt numFmtId="167" formatCode="_(* #,##0.000_);_(* \(#,##0.000\);_(* &quot;-&quot;??_);_(@_)"/>
    <numFmt numFmtId="168" formatCode="_(* #,##0.0000_);_(* \(#,##0.0000\);_(* &quot;-&quot;??_);_(@_)"/>
    <numFmt numFmtId="169" formatCode="_(* #,##0_);_(* \(#,##0\);_(* &quot;-&quot;??_);_(@_)"/>
    <numFmt numFmtId="170" formatCode="_(* #,##0.00000_);_(* \(#,##0.00000\);_(* &quot;-&quot;??_);_(@_)"/>
    <numFmt numFmtId="171" formatCode="0.000"/>
    <numFmt numFmtId="172" formatCode="_(* #,##0.0000_);_(* \(#,##0.0000\);_(* &quot;-&quot;_);_(@_)"/>
    <numFmt numFmtId="173" formatCode="_(* #,##0.00_);_(* \(#,##0.00\);_(* &quot;-&quot;_);_(@_)"/>
    <numFmt numFmtId="174" formatCode="#,##0.000"/>
    <numFmt numFmtId="175" formatCode="#,##0.0000"/>
    <numFmt numFmtId="176" formatCode="_(* #,##0.000_);_(* \(#,##0.000\);_(* &quot;-&quot;_);_(@_)"/>
    <numFmt numFmtId="177" formatCode="_(* #,##0.000_);_(* \(#,##0.000\);_(* &quot;-&quot;???_);_(@_)"/>
    <numFmt numFmtId="178" formatCode="#,##0.000_);\(#,##0.000\)"/>
    <numFmt numFmtId="179" formatCode="_([$Rp-421]* #,##0_);_([$Rp-421]* \(#,##0\);_([$Rp-421]* &quot;-&quot;_);_(@_)"/>
  </numFmts>
  <fonts count="39" x14ac:knownFonts="1">
    <font>
      <sz val="10"/>
      <name val="Arial"/>
    </font>
    <font>
      <sz val="10"/>
      <name val="Arial"/>
      <family val="2"/>
    </font>
    <font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Arial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2"/>
      <color indexed="9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b/>
      <sz val="16"/>
      <name val="Arial Narrow"/>
      <family val="2"/>
    </font>
    <font>
      <sz val="12"/>
      <color indexed="8"/>
      <name val="Arial Narrow"/>
      <family val="2"/>
      <charset val="1"/>
    </font>
    <font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sz val="12"/>
      <color theme="0"/>
      <name val="Arial Narrow"/>
      <family val="2"/>
    </font>
    <font>
      <b/>
      <sz val="12"/>
      <color theme="0"/>
      <name val="Arial Narrow"/>
      <family val="2"/>
    </font>
    <font>
      <b/>
      <sz val="10"/>
      <color theme="0"/>
      <name val="Arial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sz val="9"/>
      <color theme="1"/>
      <name val="Trebuchet MS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6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/>
      </top>
      <bottom style="double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double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theme="0"/>
      </bottom>
      <diagonal/>
    </border>
    <border>
      <left style="thin">
        <color theme="0"/>
      </left>
      <right style="medium">
        <color indexed="64"/>
      </right>
      <top/>
      <bottom style="double">
        <color theme="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theme="1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double">
        <color theme="1"/>
      </right>
      <top/>
      <bottom style="double">
        <color theme="1"/>
      </bottom>
      <diagonal/>
    </border>
    <border>
      <left/>
      <right style="double">
        <color theme="1"/>
      </right>
      <top/>
      <bottom/>
      <diagonal/>
    </border>
    <border>
      <left/>
      <right style="double">
        <color theme="1"/>
      </right>
      <top style="thin">
        <color indexed="8"/>
      </top>
      <bottom/>
      <diagonal/>
    </border>
    <border>
      <left/>
      <right style="double">
        <color theme="1"/>
      </right>
      <top/>
      <bottom style="double">
        <color indexed="8"/>
      </bottom>
      <diagonal/>
    </border>
    <border>
      <left/>
      <right style="double">
        <color theme="1"/>
      </right>
      <top style="hair">
        <color indexed="8"/>
      </top>
      <bottom style="hair">
        <color indexed="8"/>
      </bottom>
      <diagonal/>
    </border>
    <border>
      <left/>
      <right style="double">
        <color theme="1"/>
      </right>
      <top style="hair">
        <color indexed="8"/>
      </top>
      <bottom/>
      <diagonal/>
    </border>
    <border>
      <left/>
      <right style="double">
        <color theme="1"/>
      </right>
      <top style="thin">
        <color indexed="8"/>
      </top>
      <bottom style="thin">
        <color indexed="8"/>
      </bottom>
      <diagonal/>
    </border>
    <border>
      <left/>
      <right style="double">
        <color theme="1"/>
      </right>
      <top style="hair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</borders>
  <cellStyleXfs count="3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</cellStyleXfs>
  <cellXfs count="560">
    <xf numFmtId="0" fontId="0" fillId="0" borderId="0" xfId="0"/>
    <xf numFmtId="0" fontId="7" fillId="0" borderId="2" xfId="28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43" fontId="3" fillId="2" borderId="4" xfId="1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0" xfId="0" applyFont="1" applyFill="1" applyBorder="1" applyAlignment="1">
      <alignment horizontal="center"/>
    </xf>
    <xf numFmtId="0" fontId="7" fillId="0" borderId="2" xfId="28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3" fontId="3" fillId="0" borderId="1" xfId="1" applyFont="1" applyBorder="1"/>
    <xf numFmtId="43" fontId="3" fillId="0" borderId="1" xfId="1" applyFont="1" applyBorder="1" applyAlignment="1">
      <alignment horizontal="center"/>
    </xf>
    <xf numFmtId="167" fontId="3" fillId="0" borderId="1" xfId="1" applyNumberFormat="1" applyFont="1" applyBorder="1"/>
    <xf numFmtId="43" fontId="4" fillId="0" borderId="1" xfId="1" applyFont="1" applyBorder="1"/>
    <xf numFmtId="0" fontId="3" fillId="0" borderId="1" xfId="29" applyFont="1" applyFill="1" applyBorder="1"/>
    <xf numFmtId="0" fontId="6" fillId="2" borderId="1" xfId="29" applyFont="1" applyFill="1" applyBorder="1" applyProtection="1"/>
    <xf numFmtId="0" fontId="3" fillId="2" borderId="1" xfId="29" applyFont="1" applyFill="1" applyBorder="1"/>
    <xf numFmtId="39" fontId="6" fillId="2" borderId="1" xfId="29" applyNumberFormat="1" applyFont="1" applyFill="1" applyBorder="1" applyProtection="1"/>
    <xf numFmtId="43" fontId="6" fillId="2" borderId="1" xfId="1" applyFont="1" applyFill="1" applyBorder="1" applyProtection="1"/>
    <xf numFmtId="0" fontId="6" fillId="2" borderId="1" xfId="29" applyFont="1" applyFill="1" applyBorder="1" applyAlignment="1" applyProtection="1">
      <alignment horizontal="right"/>
    </xf>
    <xf numFmtId="43" fontId="3" fillId="2" borderId="1" xfId="29" applyNumberFormat="1" applyFont="1" applyFill="1" applyBorder="1"/>
    <xf numFmtId="0" fontId="8" fillId="2" borderId="1" xfId="29" applyFont="1" applyFill="1" applyBorder="1" applyAlignment="1" applyProtection="1">
      <alignment horizontal="fill"/>
    </xf>
    <xf numFmtId="0" fontId="6" fillId="2" borderId="1" xfId="29" quotePrefix="1" applyFont="1" applyFill="1" applyBorder="1" applyProtection="1"/>
    <xf numFmtId="43" fontId="3" fillId="2" borderId="1" xfId="1" applyFont="1" applyFill="1" applyBorder="1"/>
    <xf numFmtId="43" fontId="4" fillId="2" borderId="1" xfId="1" applyFont="1" applyFill="1" applyBorder="1"/>
    <xf numFmtId="43" fontId="3" fillId="0" borderId="1" xfId="1" applyFont="1" applyFill="1" applyBorder="1"/>
    <xf numFmtId="0" fontId="3" fillId="0" borderId="1" xfId="0" applyFont="1" applyFill="1" applyBorder="1"/>
    <xf numFmtId="43" fontId="3" fillId="0" borderId="1" xfId="1" applyFont="1" applyFill="1" applyBorder="1" applyAlignment="1">
      <alignment horizontal="center"/>
    </xf>
    <xf numFmtId="0" fontId="3" fillId="2" borderId="1" xfId="26" applyFont="1" applyFill="1" applyBorder="1"/>
    <xf numFmtId="172" fontId="3" fillId="2" borderId="1" xfId="4" applyNumberFormat="1" applyFont="1" applyFill="1" applyBorder="1"/>
    <xf numFmtId="0" fontId="3" fillId="2" borderId="1" xfId="26" applyFont="1" applyFill="1" applyBorder="1" applyAlignment="1">
      <alignment horizontal="center"/>
    </xf>
    <xf numFmtId="168" fontId="3" fillId="2" borderId="1" xfId="15" applyNumberFormat="1" applyFont="1" applyFill="1" applyBorder="1"/>
    <xf numFmtId="0" fontId="3" fillId="0" borderId="1" xfId="0" applyFont="1" applyFill="1" applyBorder="1" applyAlignment="1">
      <alignment horizontal="center"/>
    </xf>
    <xf numFmtId="168" fontId="3" fillId="0" borderId="1" xfId="15" applyNumberFormat="1" applyFont="1" applyFill="1" applyBorder="1"/>
    <xf numFmtId="168" fontId="3" fillId="0" borderId="1" xfId="1" applyNumberFormat="1" applyFont="1" applyFill="1" applyBorder="1"/>
    <xf numFmtId="43" fontId="4" fillId="0" borderId="1" xfId="1" applyFont="1" applyFill="1" applyBorder="1"/>
    <xf numFmtId="167" fontId="3" fillId="0" borderId="1" xfId="1" applyNumberFormat="1" applyFont="1" applyFill="1" applyBorder="1"/>
    <xf numFmtId="170" fontId="3" fillId="0" borderId="1" xfId="1" applyNumberFormat="1" applyFont="1" applyFill="1" applyBorder="1"/>
    <xf numFmtId="170" fontId="3" fillId="0" borderId="1" xfId="1" applyNumberFormat="1" applyFont="1" applyBorder="1"/>
    <xf numFmtId="168" fontId="3" fillId="0" borderId="1" xfId="1" applyNumberFormat="1" applyFont="1" applyBorder="1"/>
    <xf numFmtId="0" fontId="3" fillId="0" borderId="1" xfId="0" applyFont="1" applyFill="1" applyBorder="1" applyAlignment="1">
      <alignment horizontal="right"/>
    </xf>
    <xf numFmtId="171" fontId="3" fillId="0" borderId="1" xfId="0" applyNumberFormat="1" applyFont="1" applyBorder="1"/>
    <xf numFmtId="0" fontId="3" fillId="2" borderId="0" xfId="0" applyFont="1" applyFill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2" xfId="0" quotePrefix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15" xfId="0" applyFont="1" applyFill="1" applyBorder="1"/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/>
    <xf numFmtId="0" fontId="3" fillId="2" borderId="1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/>
    <xf numFmtId="43" fontId="3" fillId="2" borderId="19" xfId="1" applyFont="1" applyFill="1" applyBorder="1"/>
    <xf numFmtId="0" fontId="3" fillId="2" borderId="20" xfId="0" applyFont="1" applyFill="1" applyBorder="1"/>
    <xf numFmtId="0" fontId="3" fillId="2" borderId="9" xfId="0" applyFont="1" applyFill="1" applyBorder="1" applyAlignment="1">
      <alignment horizontal="center"/>
    </xf>
    <xf numFmtId="43" fontId="3" fillId="2" borderId="9" xfId="1" applyFont="1" applyFill="1" applyBorder="1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5" xfId="0" quotePrefix="1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23" xfId="0" applyFont="1" applyFill="1" applyBorder="1"/>
    <xf numFmtId="0" fontId="3" fillId="2" borderId="23" xfId="0" applyFont="1" applyFill="1" applyBorder="1" applyAlignment="1">
      <alignment horizontal="center"/>
    </xf>
    <xf numFmtId="43" fontId="3" fillId="2" borderId="22" xfId="1" applyFont="1" applyFill="1" applyBorder="1"/>
    <xf numFmtId="0" fontId="3" fillId="2" borderId="24" xfId="0" applyFont="1" applyFill="1" applyBorder="1"/>
    <xf numFmtId="43" fontId="3" fillId="2" borderId="0" xfId="1" applyFont="1" applyFill="1"/>
    <xf numFmtId="0" fontId="3" fillId="2" borderId="25" xfId="0" applyFont="1" applyFill="1" applyBorder="1"/>
    <xf numFmtId="0" fontId="3" fillId="2" borderId="3" xfId="27" applyFont="1" applyFill="1" applyBorder="1" applyAlignment="1">
      <alignment horizontal="center"/>
    </xf>
    <xf numFmtId="0" fontId="3" fillId="2" borderId="4" xfId="27" applyFont="1" applyFill="1" applyBorder="1" applyAlignment="1"/>
    <xf numFmtId="0" fontId="3" fillId="2" borderId="4" xfId="27" applyFont="1" applyFill="1" applyBorder="1"/>
    <xf numFmtId="0" fontId="3" fillId="2" borderId="4" xfId="27" applyFont="1" applyFill="1" applyBorder="1" applyAlignment="1">
      <alignment vertical="center"/>
    </xf>
    <xf numFmtId="0" fontId="4" fillId="2" borderId="1" xfId="26" applyFont="1" applyFill="1" applyBorder="1"/>
    <xf numFmtId="175" fontId="3" fillId="2" borderId="1" xfId="26" applyNumberFormat="1" applyFont="1" applyFill="1" applyBorder="1"/>
    <xf numFmtId="167" fontId="6" fillId="4" borderId="1" xfId="3" applyNumberFormat="1" applyFont="1" applyFill="1" applyBorder="1"/>
    <xf numFmtId="0" fontId="6" fillId="4" borderId="1" xfId="26" applyFont="1" applyFill="1" applyBorder="1"/>
    <xf numFmtId="0" fontId="3" fillId="4" borderId="1" xfId="26" applyFont="1" applyFill="1" applyBorder="1"/>
    <xf numFmtId="0" fontId="6" fillId="4" borderId="1" xfId="26" applyFont="1" applyFill="1" applyBorder="1" applyAlignment="1">
      <alignment horizontal="left"/>
    </xf>
    <xf numFmtId="168" fontId="2" fillId="4" borderId="0" xfId="15" applyNumberFormat="1" applyFont="1" applyFill="1" applyBorder="1"/>
    <xf numFmtId="168" fontId="3" fillId="4" borderId="0" xfId="15" applyNumberFormat="1" applyFont="1" applyFill="1" applyBorder="1"/>
    <xf numFmtId="0" fontId="2" fillId="4" borderId="0" xfId="26" applyFont="1" applyFill="1" applyBorder="1"/>
    <xf numFmtId="0" fontId="7" fillId="0" borderId="0" xfId="28" applyFont="1" applyBorder="1"/>
    <xf numFmtId="0" fontId="7" fillId="0" borderId="0" xfId="28" applyFont="1" applyBorder="1" applyAlignment="1">
      <alignment horizontal="right"/>
    </xf>
    <xf numFmtId="0" fontId="3" fillId="2" borderId="26" xfId="26" applyFont="1" applyFill="1" applyBorder="1"/>
    <xf numFmtId="0" fontId="3" fillId="2" borderId="27" xfId="0" applyFont="1" applyFill="1" applyBorder="1" applyAlignment="1">
      <alignment horizontal="center"/>
    </xf>
    <xf numFmtId="0" fontId="3" fillId="0" borderId="0" xfId="0" applyFont="1" applyFill="1"/>
    <xf numFmtId="168" fontId="3" fillId="0" borderId="0" xfId="8" applyNumberFormat="1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43" fontId="3" fillId="0" borderId="0" xfId="8" applyFont="1" applyFill="1"/>
    <xf numFmtId="43" fontId="3" fillId="0" borderId="0" xfId="8" applyFont="1" applyFill="1" applyAlignment="1">
      <alignment horizontal="center"/>
    </xf>
    <xf numFmtId="0" fontId="5" fillId="0" borderId="0" xfId="0" applyFont="1" applyFill="1"/>
    <xf numFmtId="43" fontId="3" fillId="0" borderId="28" xfId="8" applyFont="1" applyFill="1" applyBorder="1"/>
    <xf numFmtId="43" fontId="3" fillId="0" borderId="29" xfId="8" applyFont="1" applyFill="1" applyBorder="1"/>
    <xf numFmtId="43" fontId="3" fillId="0" borderId="0" xfId="8" applyFont="1" applyFill="1" applyBorder="1"/>
    <xf numFmtId="43" fontId="4" fillId="0" borderId="0" xfId="8" applyFont="1" applyFill="1" applyBorder="1"/>
    <xf numFmtId="0" fontId="7" fillId="0" borderId="0" xfId="28" applyFont="1" applyBorder="1" applyAlignment="1">
      <alignment horizontal="center"/>
    </xf>
    <xf numFmtId="0" fontId="5" fillId="0" borderId="0" xfId="28" applyFont="1"/>
    <xf numFmtId="0" fontId="7" fillId="0" borderId="30" xfId="28" applyFont="1" applyBorder="1"/>
    <xf numFmtId="0" fontId="7" fillId="0" borderId="32" xfId="28" applyFont="1" applyFill="1" applyBorder="1" applyAlignment="1">
      <alignment horizontal="center" vertical="center"/>
    </xf>
    <xf numFmtId="0" fontId="7" fillId="0" borderId="33" xfId="28" applyFont="1" applyFill="1" applyBorder="1" applyAlignment="1">
      <alignment horizontal="center" vertical="center"/>
    </xf>
    <xf numFmtId="0" fontId="7" fillId="0" borderId="34" xfId="28" applyFont="1" applyBorder="1" applyAlignment="1">
      <alignment horizontal="center"/>
    </xf>
    <xf numFmtId="0" fontId="7" fillId="0" borderId="35" xfId="28" applyFont="1" applyBorder="1"/>
    <xf numFmtId="0" fontId="7" fillId="0" borderId="36" xfId="28" applyFont="1" applyBorder="1" applyAlignment="1">
      <alignment horizontal="center"/>
    </xf>
    <xf numFmtId="0" fontId="7" fillId="0" borderId="37" xfId="28" applyFont="1" applyBorder="1"/>
    <xf numFmtId="0" fontId="7" fillId="0" borderId="38" xfId="28" applyFont="1" applyBorder="1"/>
    <xf numFmtId="0" fontId="7" fillId="0" borderId="39" xfId="28" applyFont="1" applyBorder="1" applyAlignment="1">
      <alignment horizontal="center"/>
    </xf>
    <xf numFmtId="0" fontId="7" fillId="0" borderId="40" xfId="28" applyFont="1" applyBorder="1"/>
    <xf numFmtId="0" fontId="7" fillId="0" borderId="40" xfId="28" applyFont="1" applyBorder="1" applyAlignment="1">
      <alignment horizontal="right"/>
    </xf>
    <xf numFmtId="43" fontId="7" fillId="0" borderId="41" xfId="28" applyNumberFormat="1" applyFont="1" applyBorder="1"/>
    <xf numFmtId="0" fontId="7" fillId="0" borderId="42" xfId="28" applyFont="1" applyBorder="1" applyAlignment="1">
      <alignment horizontal="center"/>
    </xf>
    <xf numFmtId="0" fontId="7" fillId="0" borderId="43" xfId="28" applyFont="1" applyBorder="1"/>
    <xf numFmtId="0" fontId="7" fillId="0" borderId="44" xfId="28" applyFont="1" applyBorder="1"/>
    <xf numFmtId="0" fontId="7" fillId="0" borderId="45" xfId="28" applyFont="1" applyBorder="1"/>
    <xf numFmtId="0" fontId="7" fillId="0" borderId="46" xfId="28" applyFont="1" applyBorder="1"/>
    <xf numFmtId="0" fontId="7" fillId="0" borderId="30" xfId="28" applyFont="1" applyBorder="1" applyAlignment="1">
      <alignment horizontal="center"/>
    </xf>
    <xf numFmtId="43" fontId="7" fillId="0" borderId="31" xfId="28" applyNumberFormat="1" applyFont="1" applyBorder="1"/>
    <xf numFmtId="43" fontId="7" fillId="0" borderId="31" xfId="28" applyNumberFormat="1" applyFont="1" applyFill="1" applyBorder="1"/>
    <xf numFmtId="0" fontId="16" fillId="0" borderId="0" xfId="28" applyFont="1" applyBorder="1"/>
    <xf numFmtId="0" fontId="16" fillId="0" borderId="0" xfId="28" applyFont="1" applyBorder="1" applyAlignment="1">
      <alignment horizontal="right"/>
    </xf>
    <xf numFmtId="0" fontId="7" fillId="0" borderId="47" xfId="28" applyFont="1" applyBorder="1"/>
    <xf numFmtId="0" fontId="7" fillId="0" borderId="33" xfId="28" applyFont="1" applyBorder="1"/>
    <xf numFmtId="0" fontId="7" fillId="0" borderId="33" xfId="28" applyFont="1" applyBorder="1" applyAlignment="1">
      <alignment horizontal="center"/>
    </xf>
    <xf numFmtId="0" fontId="16" fillId="0" borderId="49" xfId="28" applyFont="1" applyBorder="1"/>
    <xf numFmtId="0" fontId="7" fillId="0" borderId="49" xfId="28" applyFont="1" applyBorder="1"/>
    <xf numFmtId="0" fontId="16" fillId="0" borderId="50" xfId="28" applyFont="1" applyFill="1" applyBorder="1" applyAlignment="1">
      <alignment horizontal="center" vertical="center"/>
    </xf>
    <xf numFmtId="0" fontId="16" fillId="0" borderId="51" xfId="28" applyFont="1" applyFill="1" applyBorder="1" applyAlignment="1">
      <alignment horizontal="center" vertical="center"/>
    </xf>
    <xf numFmtId="0" fontId="16" fillId="0" borderId="52" xfId="28" applyFont="1" applyBorder="1" applyAlignment="1">
      <alignment horizontal="center"/>
    </xf>
    <xf numFmtId="0" fontId="19" fillId="0" borderId="52" xfId="28" applyFont="1" applyBorder="1"/>
    <xf numFmtId="0" fontId="16" fillId="0" borderId="53" xfId="28" applyFont="1" applyBorder="1"/>
    <xf numFmtId="43" fontId="7" fillId="0" borderId="52" xfId="14" applyFont="1" applyBorder="1"/>
    <xf numFmtId="43" fontId="7" fillId="0" borderId="53" xfId="14" applyFont="1" applyBorder="1"/>
    <xf numFmtId="43" fontId="7" fillId="0" borderId="54" xfId="14" applyFont="1" applyBorder="1"/>
    <xf numFmtId="0" fontId="7" fillId="0" borderId="2" xfId="28" quotePrefix="1" applyFont="1" applyBorder="1" applyAlignment="1">
      <alignment horizontal="center"/>
    </xf>
    <xf numFmtId="0" fontId="7" fillId="0" borderId="55" xfId="28" applyFont="1" applyBorder="1"/>
    <xf numFmtId="43" fontId="7" fillId="0" borderId="2" xfId="14" applyFont="1" applyBorder="1"/>
    <xf numFmtId="43" fontId="7" fillId="0" borderId="55" xfId="14" applyFont="1" applyBorder="1"/>
    <xf numFmtId="43" fontId="7" fillId="0" borderId="56" xfId="14" applyFont="1" applyBorder="1"/>
    <xf numFmtId="0" fontId="16" fillId="0" borderId="57" xfId="28" applyFont="1" applyFill="1" applyBorder="1" applyAlignment="1">
      <alignment horizontal="center"/>
    </xf>
    <xf numFmtId="0" fontId="16" fillId="0" borderId="57" xfId="28" applyFont="1" applyFill="1" applyBorder="1"/>
    <xf numFmtId="43" fontId="16" fillId="0" borderId="57" xfId="14" applyFont="1" applyFill="1" applyBorder="1"/>
    <xf numFmtId="43" fontId="16" fillId="0" borderId="58" xfId="14" applyFont="1" applyFill="1" applyBorder="1"/>
    <xf numFmtId="43" fontId="16" fillId="0" borderId="59" xfId="14" applyFont="1" applyFill="1" applyBorder="1" applyAlignment="1">
      <alignment horizontal="right"/>
    </xf>
    <xf numFmtId="43" fontId="16" fillId="0" borderId="59" xfId="14" applyFont="1" applyFill="1" applyBorder="1"/>
    <xf numFmtId="0" fontId="7" fillId="0" borderId="53" xfId="28" applyFont="1" applyBorder="1"/>
    <xf numFmtId="0" fontId="7" fillId="0" borderId="2" xfId="28" applyFont="1" applyBorder="1" applyAlignment="1">
      <alignment horizontal="center"/>
    </xf>
    <xf numFmtId="43" fontId="7" fillId="0" borderId="56" xfId="14" applyFont="1" applyFill="1" applyBorder="1"/>
    <xf numFmtId="43" fontId="7" fillId="0" borderId="2" xfId="14" applyFont="1" applyBorder="1" applyAlignment="1">
      <alignment horizontal="right"/>
    </xf>
    <xf numFmtId="0" fontId="7" fillId="0" borderId="37" xfId="28" applyFont="1" applyBorder="1" applyAlignment="1">
      <alignment horizontal="center"/>
    </xf>
    <xf numFmtId="0" fontId="7" fillId="0" borderId="60" xfId="28" applyFont="1" applyBorder="1"/>
    <xf numFmtId="43" fontId="7" fillId="0" borderId="37" xfId="14" applyFont="1" applyBorder="1"/>
    <xf numFmtId="43" fontId="7" fillId="0" borderId="60" xfId="14" applyFont="1" applyBorder="1"/>
    <xf numFmtId="43" fontId="7" fillId="0" borderId="61" xfId="14" applyFont="1" applyBorder="1"/>
    <xf numFmtId="43" fontId="5" fillId="0" borderId="0" xfId="28" applyNumberFormat="1" applyFont="1"/>
    <xf numFmtId="0" fontId="16" fillId="0" borderId="2" xfId="28" applyFont="1" applyBorder="1" applyAlignment="1">
      <alignment horizontal="center"/>
    </xf>
    <xf numFmtId="0" fontId="19" fillId="0" borderId="2" xfId="28" applyFont="1" applyBorder="1"/>
    <xf numFmtId="0" fontId="16" fillId="0" borderId="55" xfId="28" applyFont="1" applyBorder="1"/>
    <xf numFmtId="0" fontId="21" fillId="2" borderId="2" xfId="28" quotePrefix="1" applyFont="1" applyFill="1" applyBorder="1" applyAlignment="1">
      <alignment horizontal="center"/>
    </xf>
    <xf numFmtId="0" fontId="21" fillId="2" borderId="2" xfId="28" applyFont="1" applyFill="1" applyBorder="1"/>
    <xf numFmtId="0" fontId="21" fillId="2" borderId="55" xfId="28" applyFont="1" applyFill="1" applyBorder="1"/>
    <xf numFmtId="43" fontId="21" fillId="2" borderId="2" xfId="14" applyFont="1" applyFill="1" applyBorder="1"/>
    <xf numFmtId="43" fontId="21" fillId="2" borderId="55" xfId="14" applyFont="1" applyFill="1" applyBorder="1"/>
    <xf numFmtId="43" fontId="21" fillId="2" borderId="56" xfId="14" applyFont="1" applyFill="1" applyBorder="1"/>
    <xf numFmtId="0" fontId="22" fillId="2" borderId="0" xfId="28" applyFont="1" applyFill="1"/>
    <xf numFmtId="43" fontId="17" fillId="0" borderId="56" xfId="14" applyFont="1" applyBorder="1"/>
    <xf numFmtId="0" fontId="7" fillId="0" borderId="2" xfId="28" quotePrefix="1" applyFont="1" applyBorder="1"/>
    <xf numFmtId="0" fontId="7" fillId="0" borderId="2" xfId="28" applyFont="1" applyFill="1" applyBorder="1" applyAlignment="1">
      <alignment horizontal="center"/>
    </xf>
    <xf numFmtId="0" fontId="7" fillId="0" borderId="55" xfId="28" applyFont="1" applyFill="1" applyBorder="1"/>
    <xf numFmtId="43" fontId="7" fillId="0" borderId="2" xfId="14" applyFont="1" applyFill="1" applyBorder="1"/>
    <xf numFmtId="43" fontId="7" fillId="0" borderId="55" xfId="14" applyFont="1" applyFill="1" applyBorder="1"/>
    <xf numFmtId="0" fontId="5" fillId="0" borderId="0" xfId="28" applyFont="1" applyFill="1"/>
    <xf numFmtId="0" fontId="7" fillId="0" borderId="37" xfId="28" applyFont="1" applyFill="1" applyBorder="1"/>
    <xf numFmtId="0" fontId="7" fillId="0" borderId="60" xfId="28" applyFont="1" applyFill="1" applyBorder="1"/>
    <xf numFmtId="43" fontId="7" fillId="0" borderId="37" xfId="14" applyFont="1" applyFill="1" applyBorder="1"/>
    <xf numFmtId="43" fontId="7" fillId="0" borderId="60" xfId="14" applyFont="1" applyFill="1" applyBorder="1"/>
    <xf numFmtId="43" fontId="7" fillId="0" borderId="61" xfId="14" applyFont="1" applyFill="1" applyBorder="1"/>
    <xf numFmtId="0" fontId="7" fillId="0" borderId="62" xfId="28" applyFont="1" applyBorder="1"/>
    <xf numFmtId="0" fontId="16" fillId="0" borderId="62" xfId="28" applyFont="1" applyBorder="1"/>
    <xf numFmtId="43" fontId="16" fillId="0" borderId="62" xfId="14" applyFont="1" applyBorder="1"/>
    <xf numFmtId="0" fontId="15" fillId="0" borderId="0" xfId="28" applyFont="1"/>
    <xf numFmtId="0" fontId="27" fillId="0" borderId="2" xfId="28" quotePrefix="1" applyFont="1" applyFill="1" applyBorder="1" applyAlignment="1">
      <alignment horizontal="center"/>
    </xf>
    <xf numFmtId="0" fontId="27" fillId="0" borderId="2" xfId="28" applyFont="1" applyFill="1" applyBorder="1"/>
    <xf numFmtId="0" fontId="27" fillId="0" borderId="55" xfId="28" applyFont="1" applyFill="1" applyBorder="1"/>
    <xf numFmtId="43" fontId="27" fillId="0" borderId="2" xfId="14" applyFont="1" applyFill="1" applyBorder="1"/>
    <xf numFmtId="43" fontId="27" fillId="0" borderId="55" xfId="14" applyFont="1" applyFill="1" applyBorder="1"/>
    <xf numFmtId="43" fontId="27" fillId="0" borderId="56" xfId="14" applyFont="1" applyFill="1" applyBorder="1"/>
    <xf numFmtId="0" fontId="28" fillId="0" borderId="0" xfId="28" applyFont="1" applyFill="1"/>
    <xf numFmtId="0" fontId="27" fillId="0" borderId="63" xfId="28" quotePrefix="1" applyFont="1" applyFill="1" applyBorder="1" applyAlignment="1">
      <alignment horizontal="center"/>
    </xf>
    <xf numFmtId="0" fontId="27" fillId="0" borderId="63" xfId="28" applyFont="1" applyFill="1" applyBorder="1"/>
    <xf numFmtId="0" fontId="27" fillId="0" borderId="64" xfId="28" applyFont="1" applyFill="1" applyBorder="1"/>
    <xf numFmtId="43" fontId="27" fillId="0" borderId="63" xfId="14" applyFont="1" applyFill="1" applyBorder="1"/>
    <xf numFmtId="43" fontId="27" fillId="0" borderId="64" xfId="14" applyFont="1" applyFill="1" applyBorder="1"/>
    <xf numFmtId="43" fontId="27" fillId="0" borderId="65" xfId="14" applyFont="1" applyFill="1" applyBorder="1"/>
    <xf numFmtId="168" fontId="3" fillId="4" borderId="1" xfId="16" applyNumberFormat="1" applyFont="1" applyFill="1" applyBorder="1"/>
    <xf numFmtId="0" fontId="3" fillId="4" borderId="1" xfId="26" applyFont="1" applyFill="1" applyBorder="1" applyAlignment="1">
      <alignment horizontal="center"/>
    </xf>
    <xf numFmtId="168" fontId="3" fillId="4" borderId="1" xfId="15" applyNumberFormat="1" applyFont="1" applyFill="1" applyBorder="1"/>
    <xf numFmtId="0" fontId="3" fillId="2" borderId="1" xfId="26" applyFont="1" applyFill="1" applyBorder="1" applyAlignment="1"/>
    <xf numFmtId="0" fontId="7" fillId="0" borderId="37" xfId="28" quotePrefix="1" applyFont="1" applyBorder="1" applyAlignment="1">
      <alignment horizontal="center"/>
    </xf>
    <xf numFmtId="0" fontId="16" fillId="0" borderId="60" xfId="28" applyFont="1" applyBorder="1"/>
    <xf numFmtId="0" fontId="4" fillId="4" borderId="1" xfId="26" applyFont="1" applyFill="1" applyBorder="1"/>
    <xf numFmtId="172" fontId="3" fillId="4" borderId="1" xfId="3" applyNumberFormat="1" applyFont="1" applyFill="1" applyBorder="1"/>
    <xf numFmtId="41" fontId="5" fillId="0" borderId="0" xfId="2" applyFont="1"/>
    <xf numFmtId="0" fontId="4" fillId="2" borderId="0" xfId="0" applyFont="1" applyFill="1" applyAlignment="1">
      <alignment horizontal="center"/>
    </xf>
    <xf numFmtId="0" fontId="4" fillId="4" borderId="66" xfId="26" applyFont="1" applyFill="1" applyBorder="1"/>
    <xf numFmtId="172" fontId="3" fillId="4" borderId="26" xfId="4" applyNumberFormat="1" applyFont="1" applyFill="1" applyBorder="1"/>
    <xf numFmtId="0" fontId="3" fillId="4" borderId="66" xfId="26" applyFont="1" applyFill="1" applyBorder="1" applyAlignment="1">
      <alignment horizontal="center"/>
    </xf>
    <xf numFmtId="0" fontId="3" fillId="4" borderId="66" xfId="26" applyFont="1" applyFill="1" applyBorder="1"/>
    <xf numFmtId="168" fontId="3" fillId="4" borderId="26" xfId="15" applyNumberFormat="1" applyFont="1" applyFill="1" applyBorder="1"/>
    <xf numFmtId="0" fontId="3" fillId="4" borderId="26" xfId="26" applyFont="1" applyFill="1" applyBorder="1"/>
    <xf numFmtId="172" fontId="3" fillId="4" borderId="1" xfId="4" applyNumberFormat="1" applyFont="1" applyFill="1" applyBorder="1"/>
    <xf numFmtId="0" fontId="3" fillId="4" borderId="1" xfId="0" applyFont="1" applyFill="1" applyBorder="1"/>
    <xf numFmtId="43" fontId="3" fillId="4" borderId="1" xfId="1" applyFont="1" applyFill="1" applyBorder="1"/>
    <xf numFmtId="43" fontId="3" fillId="4" borderId="1" xfId="1" applyFont="1" applyFill="1" applyBorder="1" applyAlignment="1">
      <alignment horizontal="center"/>
    </xf>
    <xf numFmtId="0" fontId="29" fillId="2" borderId="0" xfId="0" applyFont="1" applyFill="1"/>
    <xf numFmtId="0" fontId="30" fillId="2" borderId="0" xfId="0" applyFont="1" applyFill="1" applyBorder="1" applyAlignment="1">
      <alignment horizontal="center"/>
    </xf>
    <xf numFmtId="0" fontId="29" fillId="2" borderId="0" xfId="0" applyFont="1" applyFill="1" applyBorder="1"/>
    <xf numFmtId="0" fontId="29" fillId="2" borderId="0" xfId="0" applyFont="1" applyFill="1" applyBorder="1" applyAlignment="1">
      <alignment horizontal="center"/>
    </xf>
    <xf numFmtId="43" fontId="29" fillId="2" borderId="0" xfId="1" applyFont="1" applyFill="1" applyBorder="1"/>
    <xf numFmtId="43" fontId="29" fillId="2" borderId="0" xfId="0" applyNumberFormat="1" applyFont="1" applyFill="1" applyBorder="1"/>
    <xf numFmtId="43" fontId="29" fillId="2" borderId="0" xfId="1" applyFont="1" applyFill="1"/>
    <xf numFmtId="4" fontId="29" fillId="2" borderId="0" xfId="27" applyNumberFormat="1" applyFont="1" applyFill="1" applyBorder="1" applyAlignment="1"/>
    <xf numFmtId="43" fontId="29" fillId="0" borderId="0" xfId="1" applyFont="1" applyFill="1" applyBorder="1"/>
    <xf numFmtId="43" fontId="3" fillId="0" borderId="1" xfId="8" applyFont="1" applyBorder="1"/>
    <xf numFmtId="43" fontId="3" fillId="0" borderId="1" xfId="8" applyFont="1" applyBorder="1" applyAlignment="1">
      <alignment horizontal="center"/>
    </xf>
    <xf numFmtId="43" fontId="4" fillId="0" borderId="1" xfId="8" applyFont="1" applyBorder="1"/>
    <xf numFmtId="0" fontId="7" fillId="0" borderId="0" xfId="26" applyAlignment="1">
      <alignment vertical="center"/>
    </xf>
    <xf numFmtId="169" fontId="7" fillId="0" borderId="0" xfId="17" applyNumberFormat="1" applyFont="1" applyAlignment="1">
      <alignment vertical="center"/>
    </xf>
    <xf numFmtId="43" fontId="7" fillId="0" borderId="0" xfId="17" applyFont="1" applyAlignment="1">
      <alignment vertical="center"/>
    </xf>
    <xf numFmtId="0" fontId="7" fillId="0" borderId="0" xfId="26" applyFont="1" applyAlignment="1">
      <alignment vertical="center"/>
    </xf>
    <xf numFmtId="0" fontId="15" fillId="0" borderId="0" xfId="26" applyFont="1" applyAlignment="1">
      <alignment vertical="center"/>
    </xf>
    <xf numFmtId="169" fontId="15" fillId="0" borderId="0" xfId="17" applyNumberFormat="1" applyFont="1" applyAlignment="1">
      <alignment vertical="center"/>
    </xf>
    <xf numFmtId="43" fontId="15" fillId="0" borderId="0" xfId="17" applyFont="1" applyAlignment="1">
      <alignment vertical="center"/>
    </xf>
    <xf numFmtId="0" fontId="16" fillId="5" borderId="90" xfId="26" applyFont="1" applyFill="1" applyBorder="1" applyAlignment="1">
      <alignment horizontal="center" vertical="center"/>
    </xf>
    <xf numFmtId="0" fontId="16" fillId="5" borderId="91" xfId="26" applyFont="1" applyFill="1" applyBorder="1" applyAlignment="1">
      <alignment horizontal="center" vertical="center"/>
    </xf>
    <xf numFmtId="49" fontId="16" fillId="5" borderId="95" xfId="26" applyNumberFormat="1" applyFont="1" applyFill="1" applyBorder="1" applyAlignment="1">
      <alignment horizontal="center" vertical="center"/>
    </xf>
    <xf numFmtId="0" fontId="15" fillId="0" borderId="98" xfId="26" applyFont="1" applyBorder="1" applyAlignment="1">
      <alignment vertical="center"/>
    </xf>
    <xf numFmtId="0" fontId="15" fillId="0" borderId="99" xfId="26" applyFont="1" applyBorder="1" applyAlignment="1">
      <alignment vertical="center"/>
    </xf>
    <xf numFmtId="43" fontId="15" fillId="0" borderId="100" xfId="26" applyNumberFormat="1" applyFont="1" applyBorder="1" applyAlignment="1">
      <alignment vertical="center"/>
    </xf>
    <xf numFmtId="0" fontId="15" fillId="0" borderId="0" xfId="26" applyFont="1" applyBorder="1" applyAlignment="1">
      <alignment vertical="center"/>
    </xf>
    <xf numFmtId="0" fontId="7" fillId="4" borderId="79" xfId="26" applyFill="1" applyBorder="1" applyAlignment="1">
      <alignment vertical="center"/>
    </xf>
    <xf numFmtId="0" fontId="15" fillId="4" borderId="101" xfId="26" applyFont="1" applyFill="1" applyBorder="1" applyAlignment="1">
      <alignment vertical="center"/>
    </xf>
    <xf numFmtId="0" fontId="15" fillId="4" borderId="102" xfId="26" applyFont="1" applyFill="1" applyBorder="1" applyAlignment="1">
      <alignment vertical="center"/>
    </xf>
    <xf numFmtId="0" fontId="15" fillId="0" borderId="103" xfId="26" applyFont="1" applyBorder="1" applyAlignment="1">
      <alignment vertical="center"/>
    </xf>
    <xf numFmtId="0" fontId="24" fillId="0" borderId="104" xfId="26" applyFont="1" applyBorder="1" applyAlignment="1">
      <alignment horizontal="center" vertical="center"/>
    </xf>
    <xf numFmtId="0" fontId="24" fillId="0" borderId="105" xfId="26" applyFont="1" applyBorder="1" applyAlignment="1">
      <alignment horizontal="left" vertical="center"/>
    </xf>
    <xf numFmtId="39" fontId="31" fillId="0" borderId="5" xfId="17" applyNumberFormat="1" applyFont="1" applyBorder="1" applyAlignment="1">
      <alignment horizontal="right" vertical="center"/>
    </xf>
    <xf numFmtId="174" fontId="16" fillId="0" borderId="106" xfId="8" applyNumberFormat="1" applyFont="1" applyBorder="1" applyAlignment="1">
      <alignment horizontal="right" vertical="center"/>
    </xf>
    <xf numFmtId="176" fontId="16" fillId="4" borderId="5" xfId="6" applyNumberFormat="1" applyFont="1" applyFill="1" applyBorder="1" applyAlignment="1">
      <alignment vertical="center"/>
    </xf>
    <xf numFmtId="176" fontId="16" fillId="4" borderId="3" xfId="6" applyNumberFormat="1" applyFont="1" applyFill="1" applyBorder="1" applyAlignment="1">
      <alignment vertical="center"/>
    </xf>
    <xf numFmtId="176" fontId="16" fillId="4" borderId="3" xfId="26" applyNumberFormat="1" applyFont="1" applyFill="1" applyBorder="1" applyAlignment="1">
      <alignment vertical="center"/>
    </xf>
    <xf numFmtId="167" fontId="16" fillId="4" borderId="3" xfId="17" applyNumberFormat="1" applyFont="1" applyFill="1" applyBorder="1" applyAlignment="1">
      <alignment vertical="center"/>
    </xf>
    <xf numFmtId="167" fontId="7" fillId="4" borderId="3" xfId="17" quotePrefix="1" applyNumberFormat="1" applyFont="1" applyFill="1" applyBorder="1" applyAlignment="1">
      <alignment vertical="center"/>
    </xf>
    <xf numFmtId="9" fontId="16" fillId="0" borderId="106" xfId="31" applyNumberFormat="1" applyFont="1" applyBorder="1" applyAlignment="1">
      <alignment horizontal="left" vertical="center"/>
    </xf>
    <xf numFmtId="176" fontId="7" fillId="0" borderId="0" xfId="26" applyNumberFormat="1" applyFont="1" applyAlignment="1">
      <alignment vertical="center"/>
    </xf>
    <xf numFmtId="177" fontId="7" fillId="0" borderId="0" xfId="26" applyNumberFormat="1" applyFont="1" applyAlignment="1">
      <alignment vertical="center"/>
    </xf>
    <xf numFmtId="167" fontId="7" fillId="4" borderId="3" xfId="17" applyNumberFormat="1" applyFont="1" applyFill="1" applyBorder="1" applyAlignment="1">
      <alignment vertical="center"/>
    </xf>
    <xf numFmtId="167" fontId="16" fillId="4" borderId="3" xfId="8" applyNumberFormat="1" applyFont="1" applyFill="1" applyBorder="1" applyAlignment="1">
      <alignment vertical="center"/>
    </xf>
    <xf numFmtId="0" fontId="16" fillId="0" borderId="107" xfId="26" applyFont="1" applyBorder="1" applyAlignment="1">
      <alignment horizontal="center" vertical="center"/>
    </xf>
    <xf numFmtId="0" fontId="16" fillId="0" borderId="108" xfId="26" applyFont="1" applyBorder="1" applyAlignment="1">
      <alignment vertical="center"/>
    </xf>
    <xf numFmtId="39" fontId="31" fillId="0" borderId="109" xfId="17" applyNumberFormat="1" applyFont="1" applyBorder="1" applyAlignment="1">
      <alignment horizontal="right" vertical="center"/>
    </xf>
    <xf numFmtId="174" fontId="16" fillId="0" borderId="110" xfId="17" applyNumberFormat="1" applyFont="1" applyBorder="1" applyAlignment="1">
      <alignment horizontal="right" vertical="center"/>
    </xf>
    <xf numFmtId="0" fontId="16" fillId="4" borderId="111" xfId="26" applyFont="1" applyFill="1" applyBorder="1" applyAlignment="1">
      <alignment vertical="center"/>
    </xf>
    <xf numFmtId="167" fontId="23" fillId="4" borderId="102" xfId="17" applyNumberFormat="1" applyFont="1" applyFill="1" applyBorder="1" applyAlignment="1">
      <alignment vertical="center"/>
    </xf>
    <xf numFmtId="167" fontId="15" fillId="4" borderId="3" xfId="17" applyNumberFormat="1" applyFont="1" applyFill="1" applyBorder="1" applyAlignment="1">
      <alignment vertical="center"/>
    </xf>
    <xf numFmtId="167" fontId="15" fillId="0" borderId="106" xfId="17" applyNumberFormat="1" applyFont="1" applyBorder="1" applyAlignment="1">
      <alignment vertical="center"/>
    </xf>
    <xf numFmtId="176" fontId="15" fillId="0" borderId="0" xfId="26" applyNumberFormat="1" applyFont="1" applyAlignment="1">
      <alignment vertical="center"/>
    </xf>
    <xf numFmtId="177" fontId="15" fillId="0" borderId="0" xfId="26" applyNumberFormat="1" applyFont="1" applyAlignment="1">
      <alignment vertical="center"/>
    </xf>
    <xf numFmtId="0" fontId="16" fillId="0" borderId="98" xfId="26" applyFont="1" applyBorder="1" applyAlignment="1">
      <alignment horizontal="center" vertical="center"/>
    </xf>
    <xf numFmtId="0" fontId="16" fillId="0" borderId="112" xfId="26" applyFont="1" applyBorder="1" applyAlignment="1">
      <alignment horizontal="right" vertical="center"/>
    </xf>
    <xf numFmtId="39" fontId="31" fillId="0" borderId="112" xfId="17" applyNumberFormat="1" applyFont="1" applyBorder="1" applyAlignment="1">
      <alignment horizontal="right" vertical="center"/>
    </xf>
    <xf numFmtId="174" fontId="16" fillId="0" borderId="113" xfId="17" applyNumberFormat="1" applyFont="1" applyBorder="1" applyAlignment="1">
      <alignment horizontal="right" vertical="center"/>
    </xf>
    <xf numFmtId="0" fontId="16" fillId="4" borderId="114" xfId="26" applyFont="1" applyFill="1" applyBorder="1" applyAlignment="1">
      <alignment vertical="center"/>
    </xf>
    <xf numFmtId="167" fontId="23" fillId="4" borderId="115" xfId="17" applyNumberFormat="1" applyFont="1" applyFill="1" applyBorder="1" applyAlignment="1">
      <alignment vertical="center"/>
    </xf>
    <xf numFmtId="167" fontId="15" fillId="4" borderId="115" xfId="17" applyNumberFormat="1" applyFont="1" applyFill="1" applyBorder="1" applyAlignment="1">
      <alignment vertical="center"/>
    </xf>
    <xf numFmtId="167" fontId="15" fillId="0" borderId="116" xfId="17" applyNumberFormat="1" applyFont="1" applyBorder="1" applyAlignment="1">
      <alignment vertical="center"/>
    </xf>
    <xf numFmtId="39" fontId="7" fillId="0" borderId="115" xfId="17" applyNumberFormat="1" applyFont="1" applyBorder="1" applyAlignment="1">
      <alignment horizontal="right" vertical="center"/>
    </xf>
    <xf numFmtId="0" fontId="7" fillId="4" borderId="118" xfId="26" applyFill="1" applyBorder="1" applyAlignment="1">
      <alignment vertical="center"/>
    </xf>
    <xf numFmtId="0" fontId="15" fillId="4" borderId="119" xfId="26" applyFont="1" applyFill="1" applyBorder="1" applyAlignment="1">
      <alignment vertical="center"/>
    </xf>
    <xf numFmtId="0" fontId="15" fillId="0" borderId="120" xfId="26" applyFont="1" applyBorder="1" applyAlignment="1">
      <alignment vertical="center"/>
    </xf>
    <xf numFmtId="39" fontId="16" fillId="0" borderId="91" xfId="17" applyNumberFormat="1" applyFont="1" applyBorder="1" applyAlignment="1">
      <alignment horizontal="right" vertical="center"/>
    </xf>
    <xf numFmtId="178" fontId="16" fillId="0" borderId="91" xfId="17" applyNumberFormat="1" applyFont="1" applyBorder="1" applyAlignment="1">
      <alignment horizontal="right" vertical="center"/>
    </xf>
    <xf numFmtId="0" fontId="15" fillId="4" borderId="0" xfId="26" applyFont="1" applyFill="1" applyBorder="1" applyAlignment="1">
      <alignment vertical="center"/>
    </xf>
    <xf numFmtId="0" fontId="15" fillId="4" borderId="86" xfId="26" applyFont="1" applyFill="1" applyBorder="1" applyAlignment="1">
      <alignment vertical="center"/>
    </xf>
    <xf numFmtId="0" fontId="15" fillId="0" borderId="121" xfId="26" applyFont="1" applyBorder="1" applyAlignment="1">
      <alignment vertical="center"/>
    </xf>
    <xf numFmtId="0" fontId="16" fillId="0" borderId="122" xfId="26" applyFont="1" applyBorder="1" applyAlignment="1">
      <alignment horizontal="left" vertical="center"/>
    </xf>
    <xf numFmtId="0" fontId="16" fillId="0" borderId="15" xfId="26" applyFont="1" applyBorder="1" applyAlignment="1">
      <alignment horizontal="left" vertical="center"/>
    </xf>
    <xf numFmtId="167" fontId="26" fillId="4" borderId="90" xfId="26" applyNumberFormat="1" applyFont="1" applyFill="1" applyBorder="1" applyAlignment="1">
      <alignment horizontal="right" vertical="center"/>
    </xf>
    <xf numFmtId="176" fontId="15" fillId="4" borderId="91" xfId="6" applyNumberFormat="1" applyFont="1" applyFill="1" applyBorder="1" applyAlignment="1">
      <alignment vertical="center"/>
    </xf>
    <xf numFmtId="176" fontId="15" fillId="0" borderId="124" xfId="6" applyNumberFormat="1" applyFont="1" applyBorder="1" applyAlignment="1">
      <alignment vertical="center"/>
    </xf>
    <xf numFmtId="0" fontId="23" fillId="0" borderId="0" xfId="26" applyFont="1" applyAlignment="1">
      <alignment vertical="center"/>
    </xf>
    <xf numFmtId="169" fontId="23" fillId="0" borderId="0" xfId="17" applyNumberFormat="1" applyFont="1" applyAlignment="1">
      <alignment vertical="center"/>
    </xf>
    <xf numFmtId="43" fontId="23" fillId="0" borderId="0" xfId="17" applyFont="1" applyAlignment="1">
      <alignment vertical="center"/>
    </xf>
    <xf numFmtId="0" fontId="16" fillId="0" borderId="122" xfId="26" applyFont="1" applyBorder="1" applyAlignment="1">
      <alignment horizontal="center" vertical="center"/>
    </xf>
    <xf numFmtId="0" fontId="16" fillId="0" borderId="15" xfId="26" quotePrefix="1" applyFont="1" applyBorder="1" applyAlignment="1">
      <alignment horizontal="center" vertical="center"/>
    </xf>
    <xf numFmtId="176" fontId="26" fillId="4" borderId="91" xfId="6" applyNumberFormat="1" applyFont="1" applyFill="1" applyBorder="1" applyAlignment="1">
      <alignment vertical="center"/>
    </xf>
    <xf numFmtId="173" fontId="15" fillId="4" borderId="91" xfId="6" applyNumberFormat="1" applyFont="1" applyFill="1" applyBorder="1" applyAlignment="1">
      <alignment vertical="center"/>
    </xf>
    <xf numFmtId="0" fontId="15" fillId="0" borderId="90" xfId="26" applyFont="1" applyBorder="1" applyAlignment="1">
      <alignment horizontal="right" vertical="center"/>
    </xf>
    <xf numFmtId="173" fontId="15" fillId="0" borderId="91" xfId="6" applyNumberFormat="1" applyFont="1" applyBorder="1" applyAlignment="1">
      <alignment vertical="center"/>
    </xf>
    <xf numFmtId="173" fontId="15" fillId="0" borderId="91" xfId="6" applyNumberFormat="1" applyFont="1" applyFill="1" applyBorder="1" applyAlignment="1">
      <alignment vertical="center"/>
    </xf>
    <xf numFmtId="173" fontId="15" fillId="0" borderId="124" xfId="6" applyNumberFormat="1" applyFont="1" applyBorder="1" applyAlignment="1">
      <alignment vertical="center"/>
    </xf>
    <xf numFmtId="0" fontId="23" fillId="0" borderId="122" xfId="26" applyFont="1" applyBorder="1" applyAlignment="1">
      <alignment horizontal="center" vertical="center"/>
    </xf>
    <xf numFmtId="0" fontId="23" fillId="0" borderId="15" xfId="26" applyFont="1" applyBorder="1" applyAlignment="1">
      <alignment vertical="center"/>
    </xf>
    <xf numFmtId="173" fontId="15" fillId="0" borderId="112" xfId="6" applyNumberFormat="1" applyFont="1" applyBorder="1" applyAlignment="1">
      <alignment vertical="center"/>
    </xf>
    <xf numFmtId="173" fontId="15" fillId="0" borderId="112" xfId="6" applyNumberFormat="1" applyFont="1" applyFill="1" applyBorder="1" applyAlignment="1">
      <alignment vertical="center"/>
    </xf>
    <xf numFmtId="0" fontId="23" fillId="0" borderId="125" xfId="26" applyFont="1" applyBorder="1" applyAlignment="1">
      <alignment vertical="center"/>
    </xf>
    <xf numFmtId="0" fontId="23" fillId="0" borderId="126" xfId="26" applyFont="1" applyBorder="1" applyAlignment="1">
      <alignment vertical="center"/>
    </xf>
    <xf numFmtId="167" fontId="15" fillId="0" borderId="95" xfId="26" applyNumberFormat="1" applyFont="1" applyBorder="1" applyAlignment="1">
      <alignment horizontal="right" vertical="center"/>
    </xf>
    <xf numFmtId="173" fontId="15" fillId="2" borderId="127" xfId="6" applyNumberFormat="1" applyFont="1" applyFill="1" applyBorder="1" applyAlignment="1">
      <alignment vertical="center"/>
    </xf>
    <xf numFmtId="173" fontId="15" fillId="0" borderId="97" xfId="6" applyNumberFormat="1" applyFont="1" applyBorder="1" applyAlignment="1">
      <alignment vertical="center"/>
    </xf>
    <xf numFmtId="0" fontId="16" fillId="0" borderId="0" xfId="26" applyFont="1" applyAlignment="1">
      <alignment vertical="center"/>
    </xf>
    <xf numFmtId="0" fontId="16" fillId="2" borderId="0" xfId="26" applyFont="1" applyFill="1" applyAlignment="1">
      <alignment vertical="center"/>
    </xf>
    <xf numFmtId="0" fontId="23" fillId="0" borderId="0" xfId="26" applyFont="1" applyAlignment="1">
      <alignment horizontal="center" vertical="center"/>
    </xf>
    <xf numFmtId="165" fontId="15" fillId="0" borderId="0" xfId="26" applyNumberFormat="1" applyFont="1" applyAlignment="1">
      <alignment vertical="center"/>
    </xf>
    <xf numFmtId="0" fontId="15" fillId="0" borderId="0" xfId="26" applyFont="1" applyAlignment="1">
      <alignment horizontal="center" vertical="center"/>
    </xf>
    <xf numFmtId="43" fontId="15" fillId="0" borderId="0" xfId="17" applyFont="1" applyAlignment="1">
      <alignment horizontal="centerContinuous" vertical="center"/>
    </xf>
    <xf numFmtId="0" fontId="15" fillId="2" borderId="0" xfId="26" applyFont="1" applyFill="1" applyAlignment="1">
      <alignment horizontal="centerContinuous" vertical="center"/>
    </xf>
    <xf numFmtId="0" fontId="15" fillId="0" borderId="0" xfId="26" applyFont="1" applyAlignment="1">
      <alignment horizontal="centerContinuous" vertical="center"/>
    </xf>
    <xf numFmtId="165" fontId="15" fillId="2" borderId="0" xfId="26" applyNumberFormat="1" applyFont="1" applyFill="1" applyAlignment="1">
      <alignment horizontal="center" vertical="center"/>
    </xf>
    <xf numFmtId="43" fontId="15" fillId="0" borderId="0" xfId="8" applyFont="1" applyAlignment="1">
      <alignment vertical="center"/>
    </xf>
    <xf numFmtId="165" fontId="15" fillId="0" borderId="0" xfId="26" applyNumberFormat="1" applyFont="1" applyAlignment="1">
      <alignment horizontal="center" vertical="center"/>
    </xf>
    <xf numFmtId="168" fontId="15" fillId="0" borderId="0" xfId="17" applyNumberFormat="1" applyFont="1" applyAlignment="1">
      <alignment vertical="center"/>
    </xf>
    <xf numFmtId="165" fontId="7" fillId="0" borderId="0" xfId="26" applyNumberFormat="1" applyFont="1" applyAlignment="1">
      <alignment vertical="center"/>
    </xf>
    <xf numFmtId="0" fontId="24" fillId="0" borderId="114" xfId="26" applyFont="1" applyBorder="1" applyAlignment="1">
      <alignment horizontal="center" vertical="center"/>
    </xf>
    <xf numFmtId="0" fontId="24" fillId="0" borderId="129" xfId="26" applyFont="1" applyBorder="1" applyAlignment="1">
      <alignment horizontal="left" vertical="center"/>
    </xf>
    <xf numFmtId="174" fontId="16" fillId="0" borderId="116" xfId="8" applyNumberFormat="1" applyFont="1" applyBorder="1" applyAlignment="1">
      <alignment horizontal="right" vertical="center"/>
    </xf>
    <xf numFmtId="176" fontId="16" fillId="4" borderId="111" xfId="6" applyNumberFormat="1" applyFont="1" applyFill="1" applyBorder="1" applyAlignment="1">
      <alignment vertical="center"/>
    </xf>
    <xf numFmtId="176" fontId="16" fillId="4" borderId="102" xfId="6" applyNumberFormat="1" applyFont="1" applyFill="1" applyBorder="1" applyAlignment="1">
      <alignment vertical="center"/>
    </xf>
    <xf numFmtId="176" fontId="16" fillId="4" borderId="102" xfId="26" applyNumberFormat="1" applyFont="1" applyFill="1" applyBorder="1" applyAlignment="1">
      <alignment vertical="center"/>
    </xf>
    <xf numFmtId="167" fontId="16" fillId="4" borderId="102" xfId="8" applyNumberFormat="1" applyFont="1" applyFill="1" applyBorder="1" applyAlignment="1">
      <alignment vertical="center"/>
    </xf>
    <xf numFmtId="167" fontId="16" fillId="4" borderId="102" xfId="17" applyNumberFormat="1" applyFont="1" applyFill="1" applyBorder="1" applyAlignment="1">
      <alignment vertical="center"/>
    </xf>
    <xf numFmtId="176" fontId="16" fillId="6" borderId="5" xfId="6" applyNumberFormat="1" applyFont="1" applyFill="1" applyBorder="1" applyAlignment="1">
      <alignment vertical="center"/>
    </xf>
    <xf numFmtId="176" fontId="16" fillId="6" borderId="3" xfId="6" applyNumberFormat="1" applyFont="1" applyFill="1" applyBorder="1" applyAlignment="1">
      <alignment vertical="center"/>
    </xf>
    <xf numFmtId="176" fontId="16" fillId="6" borderId="3" xfId="26" applyNumberFormat="1" applyFont="1" applyFill="1" applyBorder="1" applyAlignment="1">
      <alignment vertical="center"/>
    </xf>
    <xf numFmtId="167" fontId="16" fillId="6" borderId="3" xfId="17" applyNumberFormat="1" applyFont="1" applyFill="1" applyBorder="1" applyAlignment="1">
      <alignment vertical="center"/>
    </xf>
    <xf numFmtId="39" fontId="31" fillId="0" borderId="7" xfId="17" applyNumberFormat="1" applyFont="1" applyBorder="1" applyAlignment="1">
      <alignment horizontal="right" vertical="center"/>
    </xf>
    <xf numFmtId="0" fontId="33" fillId="0" borderId="0" xfId="27" applyNumberFormat="1" applyFont="1" applyAlignment="1">
      <alignment vertical="center"/>
    </xf>
    <xf numFmtId="179" fontId="33" fillId="0" borderId="0" xfId="27" applyNumberFormat="1" applyFont="1" applyAlignment="1">
      <alignment vertical="center"/>
    </xf>
    <xf numFmtId="1" fontId="32" fillId="7" borderId="139" xfId="32" applyNumberFormat="1" applyFont="1" applyFill="1" applyBorder="1" applyAlignment="1">
      <alignment horizontal="center" vertical="center" wrapText="1"/>
    </xf>
    <xf numFmtId="2" fontId="32" fillId="7" borderId="139" xfId="32" applyNumberFormat="1" applyFont="1" applyFill="1" applyBorder="1" applyAlignment="1">
      <alignment horizontal="center" vertical="center"/>
    </xf>
    <xf numFmtId="179" fontId="32" fillId="7" borderId="139" xfId="32" applyNumberFormat="1" applyFont="1" applyFill="1" applyBorder="1" applyAlignment="1">
      <alignment horizontal="center" vertical="center"/>
    </xf>
    <xf numFmtId="179" fontId="34" fillId="0" borderId="141" xfId="32" applyNumberFormat="1" applyFont="1" applyBorder="1" applyAlignment="1">
      <alignment horizontal="center" vertical="center"/>
    </xf>
    <xf numFmtId="0" fontId="34" fillId="0" borderId="142" xfId="32" applyNumberFormat="1" applyFont="1" applyBorder="1" applyAlignment="1">
      <alignment horizontal="right" vertical="center"/>
    </xf>
    <xf numFmtId="0" fontId="34" fillId="0" borderId="5" xfId="32" applyNumberFormat="1" applyFont="1" applyBorder="1" applyAlignment="1">
      <alignment horizontal="left" vertical="center"/>
    </xf>
    <xf numFmtId="1" fontId="35" fillId="0" borderId="5" xfId="32" applyNumberFormat="1" applyFont="1" applyBorder="1" applyAlignment="1">
      <alignment horizontal="center" vertical="center"/>
    </xf>
    <xf numFmtId="1" fontId="36" fillId="0" borderId="3" xfId="32" applyNumberFormat="1" applyFont="1" applyBorder="1" applyAlignment="1">
      <alignment horizontal="center" vertical="center"/>
    </xf>
    <xf numFmtId="179" fontId="36" fillId="0" borderId="3" xfId="32" applyNumberFormat="1" applyFont="1" applyBorder="1" applyAlignment="1">
      <alignment horizontal="center" vertical="center"/>
    </xf>
    <xf numFmtId="41" fontId="35" fillId="0" borderId="3" xfId="6" applyFont="1" applyBorder="1" applyAlignment="1">
      <alignment horizontal="center" vertical="center"/>
    </xf>
    <xf numFmtId="41" fontId="36" fillId="0" borderId="3" xfId="6" applyFont="1" applyBorder="1" applyAlignment="1">
      <alignment horizontal="center" vertical="center"/>
    </xf>
    <xf numFmtId="0" fontId="37" fillId="0" borderId="106" xfId="27" applyNumberFormat="1" applyFont="1" applyBorder="1" applyAlignment="1">
      <alignment vertical="center"/>
    </xf>
    <xf numFmtId="10" fontId="36" fillId="0" borderId="0" xfId="27" applyNumberFormat="1" applyFont="1" applyBorder="1" applyAlignment="1">
      <alignment vertical="center"/>
    </xf>
    <xf numFmtId="0" fontId="36" fillId="0" borderId="0" xfId="27" applyNumberFormat="1" applyFont="1" applyBorder="1" applyAlignment="1">
      <alignment vertical="center"/>
    </xf>
    <xf numFmtId="179" fontId="36" fillId="0" borderId="0" xfId="27" applyNumberFormat="1" applyFont="1" applyBorder="1" applyAlignment="1">
      <alignment vertical="center"/>
    </xf>
    <xf numFmtId="179" fontId="34" fillId="0" borderId="142" xfId="32" applyNumberFormat="1" applyFont="1" applyBorder="1" applyAlignment="1">
      <alignment horizontal="left" vertical="center"/>
    </xf>
    <xf numFmtId="0" fontId="35" fillId="0" borderId="5" xfId="32" applyNumberFormat="1" applyFont="1" applyBorder="1" applyAlignment="1">
      <alignment horizontal="left" vertical="center"/>
    </xf>
    <xf numFmtId="179" fontId="35" fillId="0" borderId="143" xfId="32" applyNumberFormat="1" applyFont="1" applyBorder="1" applyAlignment="1">
      <alignment horizontal="center" vertical="center"/>
    </xf>
    <xf numFmtId="1" fontId="34" fillId="0" borderId="145" xfId="32" applyNumberFormat="1" applyFont="1" applyBorder="1" applyAlignment="1">
      <alignment horizontal="center" vertical="center"/>
    </xf>
    <xf numFmtId="2" fontId="34" fillId="0" borderId="145" xfId="32" applyNumberFormat="1" applyFont="1" applyBorder="1" applyAlignment="1">
      <alignment horizontal="center" vertical="center"/>
    </xf>
    <xf numFmtId="179" fontId="34" fillId="0" borderId="145" xfId="32" applyNumberFormat="1" applyFont="1" applyBorder="1" applyAlignment="1">
      <alignment horizontal="center" vertical="center"/>
    </xf>
    <xf numFmtId="41" fontId="34" fillId="0" borderId="145" xfId="6" applyFont="1" applyBorder="1" applyAlignment="1">
      <alignment horizontal="center" vertical="center"/>
    </xf>
    <xf numFmtId="10" fontId="33" fillId="0" borderId="145" xfId="30" applyNumberFormat="1" applyFont="1" applyBorder="1" applyAlignment="1">
      <alignment horizontal="center" vertical="center"/>
    </xf>
    <xf numFmtId="0" fontId="7" fillId="0" borderId="2" xfId="28" applyFont="1" applyBorder="1" applyAlignment="1">
      <alignment wrapText="1"/>
    </xf>
    <xf numFmtId="0" fontId="7" fillId="0" borderId="2" xfId="28" applyFont="1" applyBorder="1" applyAlignment="1"/>
    <xf numFmtId="0" fontId="35" fillId="0" borderId="111" xfId="32" applyNumberFormat="1" applyFont="1" applyBorder="1" applyAlignment="1">
      <alignment horizontal="left" vertical="center"/>
    </xf>
    <xf numFmtId="0" fontId="35" fillId="0" borderId="7" xfId="32" applyNumberFormat="1" applyFont="1" applyBorder="1" applyAlignment="1">
      <alignment horizontal="left" vertical="center"/>
    </xf>
    <xf numFmtId="0" fontId="7" fillId="0" borderId="37" xfId="28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6" fillId="2" borderId="1" xfId="29" applyFont="1" applyFill="1" applyBorder="1" applyAlignment="1" applyProtection="1"/>
    <xf numFmtId="0" fontId="3" fillId="4" borderId="1" xfId="26" applyFont="1" applyFill="1" applyBorder="1" applyAlignment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left"/>
    </xf>
    <xf numFmtId="0" fontId="3" fillId="2" borderId="4" xfId="0" applyFont="1" applyFill="1" applyBorder="1" applyAlignment="1"/>
    <xf numFmtId="0" fontId="4" fillId="2" borderId="5" xfId="0" applyFont="1" applyFill="1" applyBorder="1" applyAlignment="1"/>
    <xf numFmtId="168" fontId="3" fillId="0" borderId="0" xfId="8" applyNumberFormat="1" applyFont="1" applyFill="1" applyAlignment="1">
      <alignment wrapText="1"/>
    </xf>
    <xf numFmtId="43" fontId="3" fillId="0" borderId="1" xfId="1" applyFont="1" applyFill="1" applyBorder="1" applyAlignment="1">
      <alignment wrapText="1"/>
    </xf>
    <xf numFmtId="43" fontId="3" fillId="0" borderId="1" xfId="1" applyFont="1" applyFill="1" applyBorder="1" applyAlignment="1"/>
    <xf numFmtId="0" fontId="3" fillId="2" borderId="1" xfId="26" applyFont="1" applyFill="1" applyBorder="1" applyAlignment="1">
      <alignment wrapText="1"/>
    </xf>
    <xf numFmtId="168" fontId="3" fillId="0" borderId="1" xfId="1" applyNumberFormat="1" applyFont="1" applyFill="1" applyBorder="1" applyAlignment="1"/>
    <xf numFmtId="43" fontId="3" fillId="0" borderId="1" xfId="1" applyFont="1" applyBorder="1" applyAlignment="1">
      <alignment wrapText="1"/>
    </xf>
    <xf numFmtId="43" fontId="3" fillId="0" borderId="1" xfId="1" applyFont="1" applyBorder="1" applyAlignment="1"/>
    <xf numFmtId="0" fontId="6" fillId="4" borderId="1" xfId="26" applyFont="1" applyFill="1" applyBorder="1" applyAlignment="1"/>
    <xf numFmtId="0" fontId="3" fillId="2" borderId="5" xfId="0" applyFont="1" applyFill="1" applyBorder="1" applyAlignment="1"/>
    <xf numFmtId="0" fontId="3" fillId="2" borderId="5" xfId="0" applyFont="1" applyFill="1" applyBorder="1" applyAlignment="1">
      <alignment horizontal="left"/>
    </xf>
    <xf numFmtId="0" fontId="3" fillId="2" borderId="7" xfId="0" applyFont="1" applyFill="1" applyBorder="1" applyAlignment="1"/>
    <xf numFmtId="0" fontId="1" fillId="0" borderId="0" xfId="28" applyFont="1" applyBorder="1" applyAlignment="1">
      <alignment horizontal="right"/>
    </xf>
    <xf numFmtId="0" fontId="7" fillId="0" borderId="0" xfId="28" applyFont="1" applyBorder="1" applyAlignment="1">
      <alignment horizontal="center"/>
    </xf>
    <xf numFmtId="0" fontId="7" fillId="0" borderId="69" xfId="28" applyFont="1" applyFill="1" applyBorder="1" applyAlignment="1">
      <alignment horizontal="center" vertical="center"/>
    </xf>
    <xf numFmtId="0" fontId="7" fillId="0" borderId="70" xfId="28" applyFont="1" applyFill="1" applyBorder="1" applyAlignment="1">
      <alignment horizontal="center" vertical="center"/>
    </xf>
    <xf numFmtId="0" fontId="16" fillId="0" borderId="69" xfId="28" applyFont="1" applyFill="1" applyBorder="1" applyAlignment="1">
      <alignment horizontal="center" vertical="center"/>
    </xf>
    <xf numFmtId="0" fontId="16" fillId="0" borderId="70" xfId="28" applyFont="1" applyFill="1" applyBorder="1" applyAlignment="1">
      <alignment horizontal="center" vertical="center"/>
    </xf>
    <xf numFmtId="0" fontId="1" fillId="0" borderId="30" xfId="28" applyFont="1" applyBorder="1"/>
    <xf numFmtId="0" fontId="7" fillId="0" borderId="37" xfId="28" applyFont="1" applyFill="1" applyBorder="1" applyAlignment="1"/>
    <xf numFmtId="43" fontId="1" fillId="0" borderId="55" xfId="14" applyFont="1" applyBorder="1"/>
    <xf numFmtId="0" fontId="19" fillId="0" borderId="52" xfId="28" applyFont="1" applyBorder="1" applyAlignment="1">
      <alignment wrapText="1"/>
    </xf>
    <xf numFmtId="0" fontId="19" fillId="0" borderId="52" xfId="28" applyFont="1" applyBorder="1" applyAlignment="1"/>
    <xf numFmtId="0" fontId="1" fillId="0" borderId="2" xfId="28" applyFont="1" applyBorder="1"/>
    <xf numFmtId="0" fontId="1" fillId="0" borderId="37" xfId="28" applyFont="1" applyFill="1" applyBorder="1"/>
    <xf numFmtId="0" fontId="1" fillId="0" borderId="0" xfId="28" applyFont="1" applyBorder="1"/>
    <xf numFmtId="0" fontId="21" fillId="2" borderId="2" xfId="28" applyFont="1" applyFill="1" applyBorder="1" applyAlignment="1">
      <alignment wrapText="1"/>
    </xf>
    <xf numFmtId="0" fontId="1" fillId="0" borderId="2" xfId="28" applyFont="1" applyFill="1" applyBorder="1"/>
    <xf numFmtId="0" fontId="1" fillId="0" borderId="2" xfId="28" applyFont="1" applyBorder="1" applyAlignment="1"/>
    <xf numFmtId="0" fontId="16" fillId="0" borderId="0" xfId="26" quotePrefix="1" applyFont="1" applyAlignment="1">
      <alignment vertical="center"/>
    </xf>
    <xf numFmtId="0" fontId="16" fillId="0" borderId="0" xfId="26" quotePrefix="1" applyFont="1" applyAlignment="1">
      <alignment horizontal="left" vertical="center"/>
    </xf>
    <xf numFmtId="169" fontId="7" fillId="0" borderId="54" xfId="14" applyNumberFormat="1" applyFont="1" applyBorder="1"/>
    <xf numFmtId="169" fontId="7" fillId="0" borderId="56" xfId="14" applyNumberFormat="1" applyFont="1" applyBorder="1"/>
    <xf numFmtId="169" fontId="7" fillId="0" borderId="61" xfId="14" applyNumberFormat="1" applyFont="1" applyBorder="1"/>
    <xf numFmtId="169" fontId="16" fillId="0" borderId="59" xfId="14" applyNumberFormat="1" applyFont="1" applyBorder="1"/>
    <xf numFmtId="43" fontId="16" fillId="0" borderId="40" xfId="14" applyFont="1" applyFill="1" applyBorder="1"/>
    <xf numFmtId="43" fontId="16" fillId="0" borderId="146" xfId="14" applyFont="1" applyFill="1" applyBorder="1"/>
    <xf numFmtId="43" fontId="16" fillId="0" borderId="146" xfId="14" applyFont="1" applyFill="1" applyBorder="1" applyAlignment="1">
      <alignment horizontal="right"/>
    </xf>
    <xf numFmtId="0" fontId="38" fillId="0" borderId="146" xfId="28" applyFont="1" applyBorder="1"/>
    <xf numFmtId="43" fontId="16" fillId="0" borderId="146" xfId="14" applyFont="1" applyBorder="1"/>
    <xf numFmtId="43" fontId="16" fillId="0" borderId="0" xfId="14" applyFont="1" applyBorder="1"/>
    <xf numFmtId="43" fontId="16" fillId="0" borderId="147" xfId="14" applyFont="1" applyFill="1" applyBorder="1"/>
    <xf numFmtId="43" fontId="16" fillId="0" borderId="147" xfId="14" applyFont="1" applyFill="1" applyBorder="1" applyAlignment="1">
      <alignment horizontal="right"/>
    </xf>
    <xf numFmtId="169" fontId="7" fillId="0" borderId="41" xfId="28" applyNumberFormat="1" applyFont="1" applyBorder="1"/>
    <xf numFmtId="169" fontId="7" fillId="0" borderId="46" xfId="28" applyNumberFormat="1" applyFont="1" applyBorder="1"/>
    <xf numFmtId="169" fontId="7" fillId="0" borderId="31" xfId="28" applyNumberFormat="1" applyFont="1" applyBorder="1"/>
    <xf numFmtId="169" fontId="7" fillId="0" borderId="31" xfId="28" applyNumberFormat="1" applyFont="1" applyFill="1" applyBorder="1"/>
    <xf numFmtId="43" fontId="7" fillId="0" borderId="2" xfId="28" applyNumberFormat="1" applyFont="1" applyBorder="1"/>
    <xf numFmtId="43" fontId="7" fillId="0" borderId="37" xfId="28" applyNumberFormat="1" applyFont="1" applyBorder="1"/>
    <xf numFmtId="43" fontId="7" fillId="0" borderId="40" xfId="28" applyNumberFormat="1" applyFont="1" applyBorder="1"/>
    <xf numFmtId="43" fontId="7" fillId="0" borderId="0" xfId="28" applyNumberFormat="1" applyFont="1" applyBorder="1"/>
    <xf numFmtId="43" fontId="7" fillId="0" borderId="0" xfId="28" applyNumberFormat="1" applyFont="1" applyFill="1" applyBorder="1"/>
    <xf numFmtId="43" fontId="16" fillId="0" borderId="0" xfId="28" applyNumberFormat="1" applyFont="1" applyBorder="1"/>
    <xf numFmtId="0" fontId="5" fillId="0" borderId="149" xfId="28" applyFont="1" applyBorder="1"/>
    <xf numFmtId="0" fontId="7" fillId="0" borderId="150" xfId="28" applyFont="1" applyFill="1" applyBorder="1" applyAlignment="1">
      <alignment horizontal="center" vertical="center"/>
    </xf>
    <xf numFmtId="0" fontId="1" fillId="0" borderId="151" xfId="28" applyFont="1" applyFill="1" applyBorder="1" applyAlignment="1">
      <alignment horizontal="center" vertical="center"/>
    </xf>
    <xf numFmtId="43" fontId="7" fillId="0" borderId="152" xfId="28" applyNumberFormat="1" applyFont="1" applyBorder="1"/>
    <xf numFmtId="43" fontId="7" fillId="0" borderId="153" xfId="28" applyNumberFormat="1" applyFont="1" applyBorder="1"/>
    <xf numFmtId="43" fontId="7" fillId="0" borderId="154" xfId="28" applyNumberFormat="1" applyFont="1" applyBorder="1"/>
    <xf numFmtId="0" fontId="7" fillId="0" borderId="155" xfId="28" applyFont="1" applyBorder="1"/>
    <xf numFmtId="43" fontId="7" fillId="0" borderId="149" xfId="28" applyNumberFormat="1" applyFont="1" applyBorder="1"/>
    <xf numFmtId="43" fontId="7" fillId="0" borderId="149" xfId="28" applyNumberFormat="1" applyFont="1" applyFill="1" applyBorder="1"/>
    <xf numFmtId="0" fontId="5" fillId="0" borderId="148" xfId="28" applyFont="1" applyBorder="1"/>
    <xf numFmtId="0" fontId="5" fillId="0" borderId="31" xfId="28" applyFont="1" applyBorder="1"/>
    <xf numFmtId="0" fontId="7" fillId="0" borderId="156" xfId="28" applyFont="1" applyFill="1" applyBorder="1" applyAlignment="1">
      <alignment horizontal="center" vertical="center"/>
    </xf>
    <xf numFmtId="0" fontId="1" fillId="0" borderId="48" xfId="28" applyFont="1" applyFill="1" applyBorder="1" applyAlignment="1">
      <alignment horizontal="center" vertical="center"/>
    </xf>
    <xf numFmtId="169" fontId="7" fillId="0" borderId="157" xfId="28" applyNumberFormat="1" applyFont="1" applyBorder="1"/>
    <xf numFmtId="164" fontId="5" fillId="0" borderId="31" xfId="28" applyNumberFormat="1" applyFont="1" applyBorder="1"/>
    <xf numFmtId="41" fontId="5" fillId="0" borderId="31" xfId="2" applyFont="1" applyBorder="1"/>
    <xf numFmtId="43" fontId="5" fillId="0" borderId="31" xfId="28" applyNumberFormat="1" applyFont="1" applyBorder="1"/>
    <xf numFmtId="0" fontId="5" fillId="0" borderId="48" xfId="28" applyFont="1" applyBorder="1"/>
    <xf numFmtId="0" fontId="5" fillId="0" borderId="59" xfId="28" applyFont="1" applyBorder="1"/>
    <xf numFmtId="169" fontId="7" fillId="0" borderId="59" xfId="14" applyNumberFormat="1" applyFont="1" applyBorder="1"/>
    <xf numFmtId="43" fontId="7" fillId="0" borderId="157" xfId="28" applyNumberFormat="1" applyFont="1" applyBorder="1"/>
    <xf numFmtId="43" fontId="7" fillId="0" borderId="158" xfId="28" applyNumberFormat="1" applyFont="1" applyBorder="1"/>
    <xf numFmtId="41" fontId="36" fillId="0" borderId="105" xfId="6" applyFont="1" applyBorder="1" applyAlignment="1">
      <alignment horizontal="center" vertical="center"/>
    </xf>
    <xf numFmtId="41" fontId="5" fillId="0" borderId="48" xfId="2" applyFont="1" applyBorder="1"/>
    <xf numFmtId="0" fontId="16" fillId="0" borderId="32" xfId="28" applyFont="1" applyFill="1" applyBorder="1" applyAlignment="1">
      <alignment horizontal="center" vertical="center"/>
    </xf>
    <xf numFmtId="0" fontId="16" fillId="0" borderId="156" xfId="28" applyFont="1" applyFill="1" applyBorder="1" applyAlignment="1">
      <alignment horizontal="center" vertical="center"/>
    </xf>
    <xf numFmtId="0" fontId="16" fillId="0" borderId="33" xfId="28" applyFont="1" applyFill="1" applyBorder="1" applyAlignment="1">
      <alignment horizontal="center" vertical="center"/>
    </xf>
    <xf numFmtId="0" fontId="16" fillId="0" borderId="48" xfId="28" applyFont="1" applyFill="1" applyBorder="1" applyAlignment="1">
      <alignment horizontal="center" vertical="center"/>
    </xf>
    <xf numFmtId="0" fontId="7" fillId="0" borderId="159" xfId="28" applyFont="1" applyBorder="1"/>
    <xf numFmtId="0" fontId="25" fillId="0" borderId="96" xfId="26" applyFont="1" applyBorder="1" applyAlignment="1">
      <alignment horizontal="right" vertical="center"/>
    </xf>
    <xf numFmtId="0" fontId="25" fillId="0" borderId="95" xfId="26" applyFont="1" applyBorder="1" applyAlignment="1">
      <alignment horizontal="right" vertical="center"/>
    </xf>
    <xf numFmtId="0" fontId="7" fillId="0" borderId="117" xfId="26" applyFont="1" applyBorder="1" applyAlignment="1">
      <alignment horizontal="center" vertical="center"/>
    </xf>
    <xf numFmtId="0" fontId="7" fillId="0" borderId="109" xfId="26" applyFont="1" applyBorder="1" applyAlignment="1">
      <alignment horizontal="center" vertical="center"/>
    </xf>
    <xf numFmtId="0" fontId="16" fillId="0" borderId="93" xfId="26" applyFont="1" applyBorder="1" applyAlignment="1">
      <alignment horizontal="right" vertical="center"/>
    </xf>
    <xf numFmtId="0" fontId="16" fillId="0" borderId="91" xfId="26" applyFont="1" applyBorder="1" applyAlignment="1">
      <alignment horizontal="right" vertical="center"/>
    </xf>
    <xf numFmtId="0" fontId="25" fillId="0" borderId="123" xfId="26" applyFont="1" applyBorder="1" applyAlignment="1">
      <alignment horizontal="right" vertical="center"/>
    </xf>
    <xf numFmtId="0" fontId="25" fillId="0" borderId="90" xfId="26" applyFont="1" applyBorder="1" applyAlignment="1">
      <alignment horizontal="right" vertical="center"/>
    </xf>
    <xf numFmtId="0" fontId="25" fillId="0" borderId="123" xfId="26" applyFont="1" applyBorder="1" applyAlignment="1">
      <alignment horizontal="right" vertical="center" wrapText="1" shrinkToFit="1"/>
    </xf>
    <xf numFmtId="0" fontId="25" fillId="0" borderId="90" xfId="26" applyFont="1" applyBorder="1" applyAlignment="1">
      <alignment horizontal="right" vertical="center" wrapText="1" shrinkToFit="1"/>
    </xf>
    <xf numFmtId="0" fontId="23" fillId="3" borderId="82" xfId="26" applyFont="1" applyFill="1" applyBorder="1" applyAlignment="1">
      <alignment horizontal="center" vertical="center"/>
    </xf>
    <xf numFmtId="0" fontId="23" fillId="3" borderId="28" xfId="26" applyFont="1" applyFill="1" applyBorder="1" applyAlignment="1">
      <alignment horizontal="center" vertical="center"/>
    </xf>
    <xf numFmtId="0" fontId="23" fillId="3" borderId="92" xfId="26" applyFont="1" applyFill="1" applyBorder="1" applyAlignment="1">
      <alignment horizontal="center" vertical="center"/>
    </xf>
    <xf numFmtId="0" fontId="23" fillId="3" borderId="96" xfId="26" applyFont="1" applyFill="1" applyBorder="1" applyAlignment="1">
      <alignment horizontal="center" vertical="center"/>
    </xf>
    <xf numFmtId="0" fontId="23" fillId="3" borderId="84" xfId="26" applyFont="1" applyFill="1" applyBorder="1" applyAlignment="1">
      <alignment horizontal="center" vertical="center"/>
    </xf>
    <xf numFmtId="0" fontId="23" fillId="3" borderId="89" xfId="26" applyFont="1" applyFill="1" applyBorder="1" applyAlignment="1">
      <alignment horizontal="center" vertical="center"/>
    </xf>
    <xf numFmtId="0" fontId="23" fillId="3" borderId="97" xfId="26" applyFont="1" applyFill="1" applyBorder="1" applyAlignment="1">
      <alignment horizontal="center" vertical="center"/>
    </xf>
    <xf numFmtId="17" fontId="16" fillId="3" borderId="81" xfId="26" applyNumberFormat="1" applyFont="1" applyFill="1" applyBorder="1" applyAlignment="1">
      <alignment horizontal="center" vertical="center"/>
    </xf>
    <xf numFmtId="17" fontId="16" fillId="3" borderId="82" xfId="26" applyNumberFormat="1" applyFont="1" applyFill="1" applyBorder="1" applyAlignment="1">
      <alignment horizontal="center" vertical="center"/>
    </xf>
    <xf numFmtId="0" fontId="14" fillId="0" borderId="0" xfId="26" applyFont="1" applyAlignment="1">
      <alignment horizontal="center" vertical="center"/>
    </xf>
    <xf numFmtId="0" fontId="23" fillId="3" borderId="77" xfId="26" quotePrefix="1" applyFont="1" applyFill="1" applyBorder="1" applyAlignment="1">
      <alignment horizontal="center" vertical="center"/>
    </xf>
    <xf numFmtId="0" fontId="23" fillId="3" borderId="85" xfId="26" quotePrefix="1" applyFont="1" applyFill="1" applyBorder="1" applyAlignment="1">
      <alignment horizontal="center" vertical="center"/>
    </xf>
    <xf numFmtId="0" fontId="15" fillId="0" borderId="93" xfId="26" applyFont="1" applyBorder="1" applyAlignment="1">
      <alignment vertical="center"/>
    </xf>
    <xf numFmtId="0" fontId="23" fillId="3" borderId="78" xfId="26" applyFont="1" applyFill="1" applyBorder="1" applyAlignment="1">
      <alignment horizontal="center" vertical="center"/>
    </xf>
    <xf numFmtId="0" fontId="23" fillId="3" borderId="86" xfId="26" applyFont="1" applyFill="1" applyBorder="1" applyAlignment="1">
      <alignment horizontal="center" vertical="center"/>
    </xf>
    <xf numFmtId="0" fontId="23" fillId="3" borderId="79" xfId="26" applyFont="1" applyFill="1" applyBorder="1" applyAlignment="1">
      <alignment horizontal="center" vertical="center" wrapText="1" shrinkToFit="1"/>
    </xf>
    <xf numFmtId="0" fontId="23" fillId="3" borderId="15" xfId="26" applyFont="1" applyFill="1" applyBorder="1" applyAlignment="1">
      <alignment horizontal="center" vertical="center" wrapText="1" shrinkToFit="1"/>
    </xf>
    <xf numFmtId="0" fontId="23" fillId="3" borderId="94" xfId="26" applyFont="1" applyFill="1" applyBorder="1" applyAlignment="1">
      <alignment horizontal="center" vertical="center" wrapText="1" shrinkToFit="1"/>
    </xf>
    <xf numFmtId="0" fontId="23" fillId="3" borderId="80" xfId="26" applyFont="1" applyFill="1" applyBorder="1" applyAlignment="1">
      <alignment horizontal="center" vertical="center" wrapText="1" shrinkToFit="1"/>
    </xf>
    <xf numFmtId="0" fontId="23" fillId="3" borderId="87" xfId="26" applyFont="1" applyFill="1" applyBorder="1" applyAlignment="1">
      <alignment horizontal="center" vertical="center" wrapText="1" shrinkToFit="1"/>
    </xf>
    <xf numFmtId="0" fontId="23" fillId="3" borderId="89" xfId="26" applyFont="1" applyFill="1" applyBorder="1" applyAlignment="1">
      <alignment horizontal="center" vertical="center" wrapText="1" shrinkToFit="1"/>
    </xf>
    <xf numFmtId="17" fontId="16" fillId="3" borderId="83" xfId="26" applyNumberFormat="1" applyFont="1" applyFill="1" applyBorder="1" applyAlignment="1">
      <alignment horizontal="center" vertical="center"/>
    </xf>
    <xf numFmtId="17" fontId="16" fillId="3" borderId="128" xfId="26" quotePrefix="1" applyNumberFormat="1" applyFont="1" applyFill="1" applyBorder="1" applyAlignment="1">
      <alignment horizontal="center" vertical="center"/>
    </xf>
    <xf numFmtId="17" fontId="16" fillId="3" borderId="88" xfId="26" applyNumberFormat="1" applyFont="1" applyFill="1" applyBorder="1" applyAlignment="1">
      <alignment horizontal="center" vertical="center"/>
    </xf>
    <xf numFmtId="0" fontId="7" fillId="0" borderId="0" xfId="28" applyFont="1" applyBorder="1" applyAlignment="1">
      <alignment horizontal="center"/>
    </xf>
    <xf numFmtId="43" fontId="7" fillId="0" borderId="0" xfId="28" applyNumberFormat="1" applyFont="1" applyBorder="1" applyAlignment="1">
      <alignment horizontal="center"/>
    </xf>
    <xf numFmtId="0" fontId="18" fillId="0" borderId="67" xfId="28" applyFont="1" applyBorder="1" applyAlignment="1">
      <alignment horizontal="center"/>
    </xf>
    <xf numFmtId="0" fontId="18" fillId="0" borderId="62" xfId="28" applyFont="1" applyBorder="1" applyAlignment="1">
      <alignment horizontal="center"/>
    </xf>
    <xf numFmtId="0" fontId="16" fillId="0" borderId="68" xfId="28" applyFont="1" applyFill="1" applyBorder="1" applyAlignment="1">
      <alignment horizontal="center" vertical="center"/>
    </xf>
    <xf numFmtId="0" fontId="16" fillId="0" borderId="47" xfId="28" applyFont="1" applyFill="1" applyBorder="1" applyAlignment="1">
      <alignment horizontal="center" vertical="center"/>
    </xf>
    <xf numFmtId="0" fontId="16" fillId="0" borderId="69" xfId="28" applyFont="1" applyFill="1" applyBorder="1" applyAlignment="1">
      <alignment horizontal="center" vertical="center"/>
    </xf>
    <xf numFmtId="0" fontId="16" fillId="0" borderId="32" xfId="28" applyFont="1" applyFill="1" applyBorder="1" applyAlignment="1">
      <alignment horizontal="center" vertical="center"/>
    </xf>
    <xf numFmtId="0" fontId="16" fillId="0" borderId="70" xfId="28" applyFont="1" applyFill="1" applyBorder="1" applyAlignment="1">
      <alignment horizontal="center" vertical="center"/>
    </xf>
    <xf numFmtId="0" fontId="16" fillId="0" borderId="33" xfId="28" applyFont="1" applyFill="1" applyBorder="1" applyAlignment="1">
      <alignment horizontal="center" vertical="center"/>
    </xf>
    <xf numFmtId="0" fontId="7" fillId="0" borderId="2" xfId="28" applyFont="1" applyBorder="1" applyAlignment="1">
      <alignment horizontal="left"/>
    </xf>
    <xf numFmtId="0" fontId="7" fillId="0" borderId="55" xfId="28" applyFont="1" applyBorder="1" applyAlignment="1">
      <alignment horizontal="left"/>
    </xf>
    <xf numFmtId="0" fontId="14" fillId="0" borderId="0" xfId="28" applyFont="1" applyBorder="1" applyAlignment="1">
      <alignment horizontal="center"/>
    </xf>
    <xf numFmtId="0" fontId="16" fillId="0" borderId="71" xfId="28" applyFont="1" applyFill="1" applyBorder="1" applyAlignment="1">
      <alignment horizontal="center" vertical="center"/>
    </xf>
    <xf numFmtId="0" fontId="16" fillId="0" borderId="72" xfId="28" applyFont="1" applyFill="1" applyBorder="1" applyAlignment="1">
      <alignment horizontal="center" vertical="center"/>
    </xf>
    <xf numFmtId="0" fontId="7" fillId="0" borderId="68" xfId="28" applyFont="1" applyFill="1" applyBorder="1" applyAlignment="1">
      <alignment horizontal="center" vertical="center"/>
    </xf>
    <xf numFmtId="0" fontId="7" fillId="0" borderId="47" xfId="28" applyFont="1" applyFill="1" applyBorder="1" applyAlignment="1">
      <alignment horizontal="center" vertical="center"/>
    </xf>
    <xf numFmtId="0" fontId="7" fillId="0" borderId="69" xfId="28" applyFont="1" applyFill="1" applyBorder="1" applyAlignment="1">
      <alignment horizontal="center" vertical="center"/>
    </xf>
    <xf numFmtId="0" fontId="7" fillId="0" borderId="32" xfId="28" applyFont="1" applyFill="1" applyBorder="1" applyAlignment="1">
      <alignment horizontal="center" vertical="center"/>
    </xf>
    <xf numFmtId="0" fontId="7" fillId="0" borderId="70" xfId="28" applyFont="1" applyFill="1" applyBorder="1" applyAlignment="1">
      <alignment horizontal="center" vertical="center"/>
    </xf>
    <xf numFmtId="0" fontId="7" fillId="0" borderId="33" xfId="28" applyFont="1" applyFill="1" applyBorder="1" applyAlignment="1">
      <alignment horizontal="center" vertical="center"/>
    </xf>
    <xf numFmtId="0" fontId="14" fillId="0" borderId="30" xfId="28" applyFont="1" applyBorder="1" applyAlignment="1">
      <alignment horizontal="center"/>
    </xf>
    <xf numFmtId="0" fontId="1" fillId="0" borderId="0" xfId="28" applyFont="1" applyBorder="1" applyAlignment="1">
      <alignment horizontal="center"/>
    </xf>
    <xf numFmtId="0" fontId="1" fillId="0" borderId="69" xfId="28" applyFont="1" applyFill="1" applyBorder="1" applyAlignment="1">
      <alignment horizontal="center" vertical="center"/>
    </xf>
    <xf numFmtId="0" fontId="32" fillId="7" borderId="136" xfId="27" applyNumberFormat="1" applyFont="1" applyFill="1" applyBorder="1" applyAlignment="1">
      <alignment horizontal="center" vertical="center"/>
    </xf>
    <xf numFmtId="0" fontId="32" fillId="7" borderId="140" xfId="27" applyNumberFormat="1" applyFont="1" applyFill="1" applyBorder="1" applyAlignment="1">
      <alignment horizontal="center" vertical="center"/>
    </xf>
    <xf numFmtId="0" fontId="18" fillId="0" borderId="0" xfId="28" applyFont="1" applyBorder="1" applyAlignment="1">
      <alignment horizontal="center"/>
    </xf>
    <xf numFmtId="179" fontId="34" fillId="0" borderId="143" xfId="32" applyNumberFormat="1" applyFont="1" applyBorder="1" applyAlignment="1">
      <alignment horizontal="right" vertical="center"/>
    </xf>
    <xf numFmtId="179" fontId="34" fillId="0" borderId="144" xfId="32" applyNumberFormat="1" applyFont="1" applyBorder="1" applyAlignment="1">
      <alignment horizontal="right" vertical="center"/>
    </xf>
    <xf numFmtId="179" fontId="32" fillId="7" borderId="130" xfId="32" applyNumberFormat="1" applyFont="1" applyFill="1" applyBorder="1" applyAlignment="1">
      <alignment horizontal="center" vertical="center"/>
    </xf>
    <xf numFmtId="179" fontId="32" fillId="7" borderId="137" xfId="32" applyNumberFormat="1" applyFont="1" applyFill="1" applyBorder="1" applyAlignment="1">
      <alignment horizontal="center" vertical="center"/>
    </xf>
    <xf numFmtId="179" fontId="32" fillId="7" borderId="131" xfId="32" applyNumberFormat="1" applyFont="1" applyFill="1" applyBorder="1" applyAlignment="1">
      <alignment horizontal="center" vertical="center"/>
    </xf>
    <xf numFmtId="179" fontId="32" fillId="7" borderId="132" xfId="32" applyNumberFormat="1" applyFont="1" applyFill="1" applyBorder="1" applyAlignment="1">
      <alignment horizontal="center" vertical="center"/>
    </xf>
    <xf numFmtId="179" fontId="32" fillId="7" borderId="138" xfId="32" applyNumberFormat="1" applyFont="1" applyFill="1" applyBorder="1" applyAlignment="1">
      <alignment horizontal="center" vertical="center"/>
    </xf>
    <xf numFmtId="179" fontId="32" fillId="7" borderId="139" xfId="32" applyNumberFormat="1" applyFont="1" applyFill="1" applyBorder="1" applyAlignment="1">
      <alignment horizontal="center" vertical="center"/>
    </xf>
    <xf numFmtId="179" fontId="32" fillId="7" borderId="133" xfId="32" applyNumberFormat="1" applyFont="1" applyFill="1" applyBorder="1" applyAlignment="1">
      <alignment horizontal="center" vertical="center"/>
    </xf>
    <xf numFmtId="179" fontId="32" fillId="7" borderId="134" xfId="32" applyNumberFormat="1" applyFont="1" applyFill="1" applyBorder="1" applyAlignment="1">
      <alignment horizontal="center" vertical="center"/>
    </xf>
    <xf numFmtId="179" fontId="32" fillId="7" borderId="135" xfId="32" applyNumberFormat="1" applyFont="1" applyFill="1" applyBorder="1" applyAlignment="1">
      <alignment horizontal="center" vertical="center"/>
    </xf>
    <xf numFmtId="41" fontId="32" fillId="7" borderId="132" xfId="6" applyFont="1" applyFill="1" applyBorder="1" applyAlignment="1">
      <alignment horizontal="center" vertical="center" wrapText="1"/>
    </xf>
    <xf numFmtId="41" fontId="32" fillId="7" borderId="139" xfId="6" applyFont="1" applyFill="1" applyBorder="1" applyAlignment="1">
      <alignment horizontal="center" vertical="center" wrapText="1"/>
    </xf>
    <xf numFmtId="41" fontId="32" fillId="7" borderId="139" xfId="6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75" xfId="0" applyFont="1" applyFill="1" applyBorder="1" applyAlignment="1">
      <alignment horizontal="center" vertical="center"/>
    </xf>
    <xf numFmtId="0" fontId="3" fillId="2" borderId="76" xfId="0" applyFont="1" applyFill="1" applyBorder="1" applyAlignment="1">
      <alignment horizontal="center" vertical="center"/>
    </xf>
    <xf numFmtId="0" fontId="3" fillId="2" borderId="73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73" xfId="0" applyFont="1" applyFill="1" applyBorder="1" applyAlignment="1">
      <alignment horizontal="center" vertical="center"/>
    </xf>
  </cellXfs>
  <cellStyles count="33">
    <cellStyle name="Comma" xfId="1" builtinId="3"/>
    <cellStyle name="Comma [0]" xfId="2" builtinId="6"/>
    <cellStyle name="Comma [0] 2" xfId="3"/>
    <cellStyle name="Comma [0] 2 2" xfId="4"/>
    <cellStyle name="Comma [0] 3" xfId="5"/>
    <cellStyle name="Comma [0] 3 2" xfId="6"/>
    <cellStyle name="Comma [0] 4" xfId="7"/>
    <cellStyle name="Comma 10" xfId="8"/>
    <cellStyle name="Comma 11" xfId="9"/>
    <cellStyle name="Comma 12" xfId="10"/>
    <cellStyle name="Comma 13" xfId="11"/>
    <cellStyle name="Comma 14" xfId="12"/>
    <cellStyle name="Comma 15" xfId="13"/>
    <cellStyle name="Comma 16" xfId="14"/>
    <cellStyle name="Comma 2" xfId="15"/>
    <cellStyle name="Comma 3" xfId="16"/>
    <cellStyle name="Comma 3 2" xfId="17"/>
    <cellStyle name="Comma 4" xfId="18"/>
    <cellStyle name="Comma 5" xfId="19"/>
    <cellStyle name="Comma 6" xfId="20"/>
    <cellStyle name="Comma 7" xfId="21"/>
    <cellStyle name="Comma 8" xfId="22"/>
    <cellStyle name="Comma 9" xfId="23"/>
    <cellStyle name="Currency 2" xfId="24"/>
    <cellStyle name="Currency 3" xfId="25"/>
    <cellStyle name="Normal" xfId="0" builtinId="0"/>
    <cellStyle name="Normal 2" xfId="26"/>
    <cellStyle name="Normal 2 2" xfId="32"/>
    <cellStyle name="Normal 3" xfId="27"/>
    <cellStyle name="Normal_RAB PAK SIGIT" xfId="28"/>
    <cellStyle name="Normal_SUKARDIYONO 2" xfId="29"/>
    <cellStyle name="Percent 2" xfId="30"/>
    <cellStyle name="Percent 2 2" xfId="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11</xdr:row>
      <xdr:rowOff>161925</xdr:rowOff>
    </xdr:from>
    <xdr:to>
      <xdr:col>21</xdr:col>
      <xdr:colOff>466725</xdr:colOff>
      <xdr:row>21</xdr:row>
      <xdr:rowOff>180975</xdr:rowOff>
    </xdr:to>
    <xdr:sp macro="" textlink="">
      <xdr:nvSpPr>
        <xdr:cNvPr id="1029" name="Freeform 12"/>
        <xdr:cNvSpPr>
          <a:spLocks/>
        </xdr:cNvSpPr>
      </xdr:nvSpPr>
      <xdr:spPr bwMode="auto">
        <a:xfrm>
          <a:off x="5915025" y="2305050"/>
          <a:ext cx="9667875" cy="2352675"/>
        </a:xfrm>
        <a:custGeom>
          <a:avLst/>
          <a:gdLst>
            <a:gd name="T0" fmla="*/ 0 w 953"/>
            <a:gd name="T1" fmla="*/ 2147483647 h 333"/>
            <a:gd name="T2" fmla="*/ 2147483647 w 953"/>
            <a:gd name="T3" fmla="*/ 2147483647 h 333"/>
            <a:gd name="T4" fmla="*/ 2147483647 w 953"/>
            <a:gd name="T5" fmla="*/ 2147483647 h 333"/>
            <a:gd name="T6" fmla="*/ 2147483647 w 953"/>
            <a:gd name="T7" fmla="*/ 0 h 333"/>
            <a:gd name="T8" fmla="*/ 0 60000 65536"/>
            <a:gd name="T9" fmla="*/ 0 60000 65536"/>
            <a:gd name="T10" fmla="*/ 0 60000 65536"/>
            <a:gd name="T11" fmla="*/ 0 60000 65536"/>
            <a:gd name="T12" fmla="*/ 0 w 953"/>
            <a:gd name="T13" fmla="*/ 0 h 333"/>
            <a:gd name="T14" fmla="*/ 953 w 953"/>
            <a:gd name="T15" fmla="*/ 333 h 33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53" h="333">
              <a:moveTo>
                <a:pt x="0" y="333"/>
              </a:moveTo>
              <a:cubicBezTo>
                <a:pt x="111" y="318"/>
                <a:pt x="223" y="303"/>
                <a:pt x="313" y="264"/>
              </a:cubicBezTo>
              <a:cubicBezTo>
                <a:pt x="403" y="225"/>
                <a:pt x="434" y="143"/>
                <a:pt x="541" y="99"/>
              </a:cubicBezTo>
              <a:cubicBezTo>
                <a:pt x="648" y="55"/>
                <a:pt x="884" y="16"/>
                <a:pt x="953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64"/>
  <sheetViews>
    <sheetView topLeftCell="A5" zoomScale="80" zoomScaleNormal="80" workbookViewId="0">
      <selection activeCell="C25" sqref="C25"/>
    </sheetView>
  </sheetViews>
  <sheetFormatPr defaultColWidth="9.140625" defaultRowHeight="12.75" x14ac:dyDescent="0.2"/>
  <cols>
    <col min="1" max="1" width="2.85546875" style="240" customWidth="1"/>
    <col min="2" max="2" width="12.140625" style="240" customWidth="1"/>
    <col min="3" max="3" width="50.5703125" style="240" customWidth="1"/>
    <col min="4" max="4" width="22" style="243" customWidth="1"/>
    <col min="5" max="5" width="10.140625" style="240" customWidth="1"/>
    <col min="6" max="7" width="7.85546875" style="240" bestFit="1" customWidth="1"/>
    <col min="8" max="9" width="8.5703125" style="240" bestFit="1" customWidth="1"/>
    <col min="10" max="11" width="8.85546875" style="240" customWidth="1"/>
    <col min="12" max="12" width="8.5703125" style="240" bestFit="1" customWidth="1"/>
    <col min="13" max="15" width="8.85546875" style="240" customWidth="1"/>
    <col min="16" max="17" width="8.5703125" style="240" bestFit="1" customWidth="1"/>
    <col min="18" max="20" width="8.85546875" style="240" bestFit="1" customWidth="1"/>
    <col min="21" max="21" width="10.7109375" style="240" customWidth="1"/>
    <col min="22" max="22" width="9.140625" style="240"/>
    <col min="23" max="23" width="9.5703125" style="240" bestFit="1" customWidth="1"/>
    <col min="24" max="27" width="9.140625" style="240"/>
    <col min="28" max="28" width="39.85546875" style="240" customWidth="1"/>
    <col min="29" max="29" width="18" style="241" customWidth="1"/>
    <col min="30" max="30" width="9.42578125" style="242" customWidth="1"/>
    <col min="31" max="31" width="14" style="241" customWidth="1"/>
    <col min="32" max="16384" width="9.140625" style="240"/>
  </cols>
  <sheetData>
    <row r="2" spans="2:31" ht="18" x14ac:dyDescent="0.2">
      <c r="B2" s="489" t="s">
        <v>521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</row>
    <row r="3" spans="2:31" x14ac:dyDescent="0.2">
      <c r="C3" s="324"/>
    </row>
    <row r="4" spans="2:31" x14ac:dyDescent="0.2">
      <c r="B4" s="324" t="s">
        <v>152</v>
      </c>
      <c r="C4" s="324" t="s">
        <v>520</v>
      </c>
    </row>
    <row r="5" spans="2:31" x14ac:dyDescent="0.2">
      <c r="B5" s="324" t="s">
        <v>151</v>
      </c>
      <c r="C5" s="417" t="s">
        <v>528</v>
      </c>
    </row>
    <row r="6" spans="2:31" x14ac:dyDescent="0.2">
      <c r="B6" s="324" t="s">
        <v>150</v>
      </c>
      <c r="C6" s="418" t="s">
        <v>515</v>
      </c>
    </row>
    <row r="7" spans="2:31" ht="13.5" thickBot="1" x14ac:dyDescent="0.25"/>
    <row r="8" spans="2:31" s="244" customFormat="1" ht="15" customHeight="1" x14ac:dyDescent="0.2">
      <c r="B8" s="490" t="s">
        <v>10</v>
      </c>
      <c r="C8" s="493" t="s">
        <v>140</v>
      </c>
      <c r="D8" s="495"/>
      <c r="E8" s="498" t="s">
        <v>179</v>
      </c>
      <c r="F8" s="487" t="s">
        <v>160</v>
      </c>
      <c r="G8" s="488"/>
      <c r="H8" s="488"/>
      <c r="I8" s="488"/>
      <c r="J8" s="487" t="s">
        <v>482</v>
      </c>
      <c r="K8" s="488"/>
      <c r="L8" s="488"/>
      <c r="M8" s="501"/>
      <c r="N8" s="487" t="s">
        <v>483</v>
      </c>
      <c r="O8" s="488"/>
      <c r="P8" s="488"/>
      <c r="Q8" s="501"/>
      <c r="R8" s="487" t="s">
        <v>484</v>
      </c>
      <c r="S8" s="488"/>
      <c r="T8" s="488"/>
      <c r="U8" s="501"/>
      <c r="V8" s="480" t="s">
        <v>177</v>
      </c>
      <c r="W8" s="484" t="s">
        <v>178</v>
      </c>
      <c r="AC8" s="245"/>
      <c r="AD8" s="246"/>
      <c r="AE8" s="245"/>
    </row>
    <row r="9" spans="2:31" s="244" customFormat="1" ht="15" customHeight="1" x14ac:dyDescent="0.2">
      <c r="B9" s="491"/>
      <c r="C9" s="494"/>
      <c r="D9" s="496"/>
      <c r="E9" s="499"/>
      <c r="F9" s="502" t="s">
        <v>143</v>
      </c>
      <c r="G9" s="503"/>
      <c r="H9" s="503"/>
      <c r="I9" s="503"/>
      <c r="J9" s="503"/>
      <c r="K9" s="503"/>
      <c r="L9" s="503"/>
      <c r="M9" s="503"/>
      <c r="N9" s="503"/>
      <c r="O9" s="503"/>
      <c r="P9" s="503"/>
      <c r="Q9" s="503"/>
      <c r="R9" s="503"/>
      <c r="S9" s="503"/>
      <c r="T9" s="503"/>
      <c r="U9" s="503"/>
      <c r="V9" s="481"/>
      <c r="W9" s="485"/>
      <c r="AC9" s="245"/>
      <c r="AD9" s="246"/>
      <c r="AE9" s="245"/>
    </row>
    <row r="10" spans="2:31" s="244" customFormat="1" ht="15" customHeight="1" x14ac:dyDescent="0.2">
      <c r="B10" s="491"/>
      <c r="C10" s="494"/>
      <c r="D10" s="496"/>
      <c r="E10" s="499"/>
      <c r="F10" s="247" t="s">
        <v>161</v>
      </c>
      <c r="G10" s="248" t="s">
        <v>162</v>
      </c>
      <c r="H10" s="248" t="s">
        <v>163</v>
      </c>
      <c r="I10" s="248" t="s">
        <v>164</v>
      </c>
      <c r="J10" s="248" t="s">
        <v>165</v>
      </c>
      <c r="K10" s="248" t="s">
        <v>166</v>
      </c>
      <c r="L10" s="248" t="s">
        <v>167</v>
      </c>
      <c r="M10" s="248" t="s">
        <v>168</v>
      </c>
      <c r="N10" s="248" t="s">
        <v>169</v>
      </c>
      <c r="O10" s="248" t="s">
        <v>170</v>
      </c>
      <c r="P10" s="248" t="s">
        <v>171</v>
      </c>
      <c r="Q10" s="248" t="s">
        <v>172</v>
      </c>
      <c r="R10" s="248" t="s">
        <v>173</v>
      </c>
      <c r="S10" s="248" t="s">
        <v>174</v>
      </c>
      <c r="T10" s="248" t="s">
        <v>175</v>
      </c>
      <c r="U10" s="248" t="s">
        <v>176</v>
      </c>
      <c r="V10" s="482"/>
      <c r="W10" s="485"/>
      <c r="AC10" s="245"/>
      <c r="AD10" s="246"/>
      <c r="AE10" s="245"/>
    </row>
    <row r="11" spans="2:31" s="244" customFormat="1" ht="28.5" customHeight="1" thickBot="1" x14ac:dyDescent="0.25">
      <c r="B11" s="492"/>
      <c r="C11" s="482"/>
      <c r="D11" s="497"/>
      <c r="E11" s="500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483"/>
      <c r="W11" s="486"/>
      <c r="AC11" s="245"/>
      <c r="AD11" s="246"/>
      <c r="AE11" s="245"/>
    </row>
    <row r="12" spans="2:31" s="244" customFormat="1" ht="12.75" customHeight="1" x14ac:dyDescent="0.2">
      <c r="B12" s="250"/>
      <c r="C12" s="251"/>
      <c r="D12" s="252"/>
      <c r="E12" s="253"/>
      <c r="F12" s="254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W12" s="257"/>
      <c r="AC12" s="245"/>
      <c r="AD12" s="246"/>
      <c r="AE12" s="245"/>
    </row>
    <row r="13" spans="2:31" s="243" customFormat="1" ht="20.100000000000001" customHeight="1" x14ac:dyDescent="0.2">
      <c r="B13" s="258" t="s">
        <v>3</v>
      </c>
      <c r="C13" s="259" t="str">
        <f>RECAPITULATION!B10</f>
        <v>CLASS ROOM PER 3 LOCAL</v>
      </c>
      <c r="D13" s="260">
        <f>RECAPITULATION!G10</f>
        <v>748203000</v>
      </c>
      <c r="E13" s="261">
        <f>D13/D22*100</f>
        <v>30.63580714505067</v>
      </c>
      <c r="F13" s="345">
        <f>E13/11</f>
        <v>2.7850733768227882</v>
      </c>
      <c r="G13" s="346">
        <f>F13</f>
        <v>2.7850733768227882</v>
      </c>
      <c r="H13" s="346">
        <f t="shared" ref="H13:P13" si="0">G13</f>
        <v>2.7850733768227882</v>
      </c>
      <c r="I13" s="346">
        <f t="shared" si="0"/>
        <v>2.7850733768227882</v>
      </c>
      <c r="J13" s="346">
        <f t="shared" si="0"/>
        <v>2.7850733768227882</v>
      </c>
      <c r="K13" s="346">
        <f t="shared" si="0"/>
        <v>2.7850733768227882</v>
      </c>
      <c r="L13" s="346">
        <f t="shared" si="0"/>
        <v>2.7850733768227882</v>
      </c>
      <c r="M13" s="346">
        <f t="shared" si="0"/>
        <v>2.7850733768227882</v>
      </c>
      <c r="N13" s="346">
        <f t="shared" si="0"/>
        <v>2.7850733768227882</v>
      </c>
      <c r="O13" s="346">
        <f t="shared" si="0"/>
        <v>2.7850733768227882</v>
      </c>
      <c r="P13" s="346">
        <f t="shared" si="0"/>
        <v>2.7850733768227882</v>
      </c>
      <c r="Q13" s="265"/>
      <c r="R13" s="265"/>
      <c r="S13" s="265"/>
      <c r="T13" s="265"/>
      <c r="U13" s="265"/>
      <c r="V13" s="266" t="s">
        <v>141</v>
      </c>
      <c r="W13" s="267"/>
      <c r="X13" s="268"/>
      <c r="Y13" s="269"/>
      <c r="AC13" s="241"/>
      <c r="AD13" s="242"/>
      <c r="AE13" s="241"/>
    </row>
    <row r="14" spans="2:31" s="243" customFormat="1" ht="20.100000000000001" customHeight="1" x14ac:dyDescent="0.2">
      <c r="B14" s="258"/>
      <c r="C14" s="259"/>
      <c r="D14" s="260"/>
      <c r="E14" s="261"/>
      <c r="F14" s="262"/>
      <c r="G14" s="263"/>
      <c r="H14" s="264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6"/>
      <c r="W14" s="267"/>
      <c r="X14" s="268"/>
      <c r="Y14" s="269"/>
      <c r="AC14" s="241"/>
      <c r="AD14" s="242"/>
      <c r="AE14" s="241"/>
    </row>
    <row r="15" spans="2:31" s="243" customFormat="1" ht="20.100000000000001" customHeight="1" x14ac:dyDescent="0.2">
      <c r="B15" s="258" t="s">
        <v>4</v>
      </c>
      <c r="C15" s="259" t="str">
        <f>RECAPITULATION!B11</f>
        <v>CLASS ROOM PER 3 LOCAL</v>
      </c>
      <c r="D15" s="260">
        <f>RECAPITULATION!G11</f>
        <v>748203000</v>
      </c>
      <c r="E15" s="261">
        <f>D15/D22*100</f>
        <v>30.63580714505067</v>
      </c>
      <c r="F15" s="262"/>
      <c r="G15" s="263"/>
      <c r="H15" s="347">
        <f>E15/11</f>
        <v>2.7850733768227882</v>
      </c>
      <c r="I15" s="348">
        <f>H15</f>
        <v>2.7850733768227882</v>
      </c>
      <c r="J15" s="348">
        <f t="shared" ref="J15:R15" si="1">I15</f>
        <v>2.7850733768227882</v>
      </c>
      <c r="K15" s="348">
        <f t="shared" si="1"/>
        <v>2.7850733768227882</v>
      </c>
      <c r="L15" s="348">
        <f t="shared" si="1"/>
        <v>2.7850733768227882</v>
      </c>
      <c r="M15" s="348">
        <f t="shared" si="1"/>
        <v>2.7850733768227882</v>
      </c>
      <c r="N15" s="348">
        <f t="shared" si="1"/>
        <v>2.7850733768227882</v>
      </c>
      <c r="O15" s="348">
        <f t="shared" si="1"/>
        <v>2.7850733768227882</v>
      </c>
      <c r="P15" s="348">
        <f t="shared" si="1"/>
        <v>2.7850733768227882</v>
      </c>
      <c r="Q15" s="348">
        <f t="shared" si="1"/>
        <v>2.7850733768227882</v>
      </c>
      <c r="R15" s="348">
        <f t="shared" si="1"/>
        <v>2.7850733768227882</v>
      </c>
      <c r="S15" s="265"/>
      <c r="T15" s="265"/>
      <c r="U15" s="265"/>
      <c r="V15" s="266"/>
      <c r="W15" s="267"/>
      <c r="X15" s="268"/>
      <c r="Y15" s="269"/>
      <c r="AC15" s="241"/>
      <c r="AD15" s="242"/>
      <c r="AE15" s="241"/>
    </row>
    <row r="16" spans="2:31" s="243" customFormat="1" ht="20.100000000000001" customHeight="1" x14ac:dyDescent="0.2">
      <c r="B16" s="258"/>
      <c r="C16" s="259"/>
      <c r="D16" s="260"/>
      <c r="E16" s="261"/>
      <c r="F16" s="262"/>
      <c r="G16" s="263"/>
      <c r="H16" s="264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6" t="s">
        <v>142</v>
      </c>
      <c r="W16" s="267"/>
      <c r="X16" s="268"/>
      <c r="Y16" s="269"/>
      <c r="AC16" s="241"/>
      <c r="AD16" s="242"/>
      <c r="AE16" s="241"/>
    </row>
    <row r="17" spans="2:31" s="243" customFormat="1" ht="20.100000000000001" customHeight="1" x14ac:dyDescent="0.2">
      <c r="B17" s="258" t="s">
        <v>5</v>
      </c>
      <c r="C17" s="259" t="str">
        <f>RECAPITULATION!B12</f>
        <v>TEACHER ROOM , TOILET AND HEADMASTER ROOM</v>
      </c>
      <c r="D17" s="260">
        <f>RECAPITULATION!G12</f>
        <v>643572000</v>
      </c>
      <c r="E17" s="261">
        <f>D17/D22*100</f>
        <v>26.35160200634661</v>
      </c>
      <c r="F17" s="262"/>
      <c r="G17" s="263"/>
      <c r="H17" s="264"/>
      <c r="I17" s="348">
        <f>E17/12</f>
        <v>2.1959668338622174</v>
      </c>
      <c r="J17" s="348">
        <f>I17</f>
        <v>2.1959668338622174</v>
      </c>
      <c r="K17" s="348">
        <f t="shared" ref="K17:T17" si="2">J17</f>
        <v>2.1959668338622174</v>
      </c>
      <c r="L17" s="348">
        <f t="shared" si="2"/>
        <v>2.1959668338622174</v>
      </c>
      <c r="M17" s="348">
        <f t="shared" si="2"/>
        <v>2.1959668338622174</v>
      </c>
      <c r="N17" s="348">
        <f t="shared" si="2"/>
        <v>2.1959668338622174</v>
      </c>
      <c r="O17" s="348">
        <f t="shared" si="2"/>
        <v>2.1959668338622174</v>
      </c>
      <c r="P17" s="348">
        <f t="shared" si="2"/>
        <v>2.1959668338622174</v>
      </c>
      <c r="Q17" s="348">
        <f t="shared" si="2"/>
        <v>2.1959668338622174</v>
      </c>
      <c r="R17" s="348">
        <f t="shared" si="2"/>
        <v>2.1959668338622174</v>
      </c>
      <c r="S17" s="348">
        <f t="shared" si="2"/>
        <v>2.1959668338622174</v>
      </c>
      <c r="T17" s="348">
        <f t="shared" si="2"/>
        <v>2.1959668338622174</v>
      </c>
      <c r="U17" s="265"/>
      <c r="V17" s="270"/>
      <c r="W17" s="267"/>
      <c r="X17" s="268"/>
      <c r="Y17" s="269"/>
      <c r="AC17" s="241"/>
      <c r="AD17" s="242"/>
      <c r="AE17" s="241"/>
    </row>
    <row r="18" spans="2:31" s="243" customFormat="1" ht="20.100000000000001" customHeight="1" x14ac:dyDescent="0.2">
      <c r="B18" s="258"/>
      <c r="C18" s="259"/>
      <c r="D18" s="260"/>
      <c r="E18" s="261"/>
      <c r="F18" s="262"/>
      <c r="G18" s="263"/>
      <c r="H18" s="264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70"/>
      <c r="W18" s="267"/>
      <c r="X18" s="268"/>
      <c r="Y18" s="269"/>
      <c r="AC18" s="241"/>
      <c r="AD18" s="242"/>
      <c r="AE18" s="241"/>
    </row>
    <row r="19" spans="2:31" s="243" customFormat="1" ht="20.100000000000001" customHeight="1" x14ac:dyDescent="0.2">
      <c r="B19" s="258" t="s">
        <v>6</v>
      </c>
      <c r="C19" s="259" t="str">
        <f>RECAPITULATION!B13</f>
        <v>LIBRARY ROOM</v>
      </c>
      <c r="D19" s="260">
        <f>RECAPITULATION!G13</f>
        <v>302272000</v>
      </c>
      <c r="E19" s="261">
        <f>D19/D22*100</f>
        <v>12.376783703552052</v>
      </c>
      <c r="F19" s="262"/>
      <c r="G19" s="263"/>
      <c r="H19" s="264"/>
      <c r="I19" s="271"/>
      <c r="J19" s="265"/>
      <c r="K19" s="265"/>
      <c r="L19" s="265"/>
      <c r="M19" s="265"/>
      <c r="N19" s="265"/>
      <c r="O19" s="348">
        <f>E19/7</f>
        <v>1.7681119576502931</v>
      </c>
      <c r="P19" s="348">
        <f t="shared" ref="P19:U19" si="3">O19</f>
        <v>1.7681119576502931</v>
      </c>
      <c r="Q19" s="348">
        <f t="shared" si="3"/>
        <v>1.7681119576502931</v>
      </c>
      <c r="R19" s="348">
        <f t="shared" si="3"/>
        <v>1.7681119576502931</v>
      </c>
      <c r="S19" s="348">
        <f t="shared" si="3"/>
        <v>1.7681119576502931</v>
      </c>
      <c r="T19" s="348">
        <f t="shared" si="3"/>
        <v>1.7681119576502931</v>
      </c>
      <c r="U19" s="348">
        <f t="shared" si="3"/>
        <v>1.7681119576502931</v>
      </c>
      <c r="V19" s="266" t="s">
        <v>144</v>
      </c>
      <c r="W19" s="267"/>
      <c r="X19" s="268"/>
      <c r="Y19" s="269"/>
      <c r="AC19" s="241"/>
      <c r="AD19" s="242"/>
      <c r="AE19" s="241"/>
    </row>
    <row r="20" spans="2:31" s="243" customFormat="1" ht="20.100000000000001" customHeight="1" x14ac:dyDescent="0.2">
      <c r="B20" s="337"/>
      <c r="C20" s="338"/>
      <c r="D20" s="349"/>
      <c r="E20" s="339"/>
      <c r="F20" s="340"/>
      <c r="G20" s="341"/>
      <c r="H20" s="342"/>
      <c r="I20" s="343"/>
      <c r="J20" s="344"/>
      <c r="K20" s="344"/>
      <c r="L20" s="344"/>
      <c r="M20" s="344"/>
      <c r="N20" s="344"/>
      <c r="O20" s="344"/>
      <c r="P20" s="344"/>
      <c r="Q20" s="344"/>
      <c r="R20" s="344"/>
      <c r="S20" s="344"/>
      <c r="T20" s="344"/>
      <c r="U20" s="344"/>
      <c r="V20" s="266"/>
      <c r="W20" s="267"/>
      <c r="X20" s="268"/>
      <c r="Y20" s="269"/>
      <c r="AC20" s="241"/>
      <c r="AD20" s="242"/>
      <c r="AE20" s="241"/>
    </row>
    <row r="21" spans="2:31" s="244" customFormat="1" ht="15" customHeight="1" x14ac:dyDescent="0.2">
      <c r="B21" s="272"/>
      <c r="C21" s="273"/>
      <c r="D21" s="274"/>
      <c r="E21" s="275"/>
      <c r="F21" s="276"/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8"/>
      <c r="W21" s="279"/>
      <c r="X21" s="280">
        <f>SUM(F21:U21)</f>
        <v>0</v>
      </c>
      <c r="Y21" s="281">
        <f>X21-E21</f>
        <v>0</v>
      </c>
      <c r="AC21" s="245"/>
      <c r="AD21" s="246"/>
      <c r="AE21" s="245"/>
    </row>
    <row r="22" spans="2:31" s="244" customFormat="1" ht="15" customHeight="1" x14ac:dyDescent="0.2">
      <c r="B22" s="282"/>
      <c r="C22" s="283"/>
      <c r="D22" s="284">
        <f>SUM(D13:D19)</f>
        <v>2442250000</v>
      </c>
      <c r="E22" s="285">
        <f>SUM(E13:E21)</f>
        <v>100</v>
      </c>
      <c r="F22" s="286"/>
      <c r="G22" s="287"/>
      <c r="H22" s="287"/>
      <c r="I22" s="287"/>
      <c r="J22" s="287"/>
      <c r="K22" s="287"/>
      <c r="L22" s="287"/>
      <c r="M22" s="287"/>
      <c r="N22" s="287"/>
      <c r="O22" s="287"/>
      <c r="P22" s="287"/>
      <c r="Q22" s="287"/>
      <c r="R22" s="287"/>
      <c r="S22" s="287"/>
      <c r="T22" s="287"/>
      <c r="U22" s="287"/>
      <c r="V22" s="288"/>
      <c r="W22" s="289"/>
      <c r="X22" s="280"/>
      <c r="Y22" s="281"/>
      <c r="AC22" s="245"/>
      <c r="AD22" s="246"/>
      <c r="AE22" s="245"/>
    </row>
    <row r="23" spans="2:31" s="244" customFormat="1" ht="15" customHeight="1" thickBot="1" x14ac:dyDescent="0.25">
      <c r="B23" s="472"/>
      <c r="C23" s="473"/>
      <c r="D23" s="290"/>
      <c r="E23" s="275"/>
      <c r="F23" s="291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2"/>
      <c r="V23" s="292"/>
      <c r="W23" s="293"/>
      <c r="AC23" s="245"/>
      <c r="AD23" s="246"/>
      <c r="AE23" s="245"/>
    </row>
    <row r="24" spans="2:31" s="244" customFormat="1" ht="20.100000000000001" customHeight="1" x14ac:dyDescent="0.2">
      <c r="B24" s="474"/>
      <c r="C24" s="475"/>
      <c r="D24" s="294"/>
      <c r="E24" s="295"/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296"/>
      <c r="Q24" s="296"/>
      <c r="R24" s="296"/>
      <c r="S24" s="296"/>
      <c r="T24" s="296"/>
      <c r="U24" s="296"/>
      <c r="V24" s="297"/>
      <c r="W24" s="298"/>
      <c r="X24" s="280"/>
      <c r="Y24" s="280"/>
      <c r="AC24" s="245"/>
      <c r="AD24" s="246"/>
      <c r="AE24" s="245"/>
    </row>
    <row r="25" spans="2:31" s="304" customFormat="1" ht="30" customHeight="1" x14ac:dyDescent="0.2">
      <c r="B25" s="299" t="s">
        <v>157</v>
      </c>
      <c r="C25" s="300"/>
      <c r="D25" s="476" t="s">
        <v>153</v>
      </c>
      <c r="E25" s="477"/>
      <c r="F25" s="301">
        <f t="shared" ref="F25:U25" si="4">SUM(F13:F24)</f>
        <v>2.7850733768227882</v>
      </c>
      <c r="G25" s="301">
        <f t="shared" si="4"/>
        <v>2.7850733768227882</v>
      </c>
      <c r="H25" s="301">
        <f t="shared" si="4"/>
        <v>5.5701467536455764</v>
      </c>
      <c r="I25" s="301">
        <f t="shared" si="4"/>
        <v>7.7661135875077942</v>
      </c>
      <c r="J25" s="301">
        <f t="shared" si="4"/>
        <v>7.7661135875077942</v>
      </c>
      <c r="K25" s="301">
        <f t="shared" si="4"/>
        <v>7.7661135875077942</v>
      </c>
      <c r="L25" s="301">
        <f t="shared" si="4"/>
        <v>7.7661135875077942</v>
      </c>
      <c r="M25" s="301">
        <f t="shared" si="4"/>
        <v>7.7661135875077942</v>
      </c>
      <c r="N25" s="301">
        <f t="shared" si="4"/>
        <v>7.7661135875077942</v>
      </c>
      <c r="O25" s="301">
        <f t="shared" si="4"/>
        <v>9.5342255451580868</v>
      </c>
      <c r="P25" s="301">
        <f t="shared" si="4"/>
        <v>9.5342255451580868</v>
      </c>
      <c r="Q25" s="301">
        <f t="shared" si="4"/>
        <v>6.7491521683352982</v>
      </c>
      <c r="R25" s="301">
        <f t="shared" si="4"/>
        <v>6.7491521683352982</v>
      </c>
      <c r="S25" s="301">
        <f t="shared" si="4"/>
        <v>3.9640787915125104</v>
      </c>
      <c r="T25" s="301">
        <f t="shared" si="4"/>
        <v>3.9640787915125104</v>
      </c>
      <c r="U25" s="301">
        <f t="shared" si="4"/>
        <v>1.7681119576502931</v>
      </c>
      <c r="V25" s="302">
        <f>SUM(V21:V24)</f>
        <v>0</v>
      </c>
      <c r="W25" s="303"/>
      <c r="AC25" s="305"/>
      <c r="AD25" s="306"/>
      <c r="AE25" s="305"/>
    </row>
    <row r="26" spans="2:31" s="304" customFormat="1" ht="30" customHeight="1" x14ac:dyDescent="0.2">
      <c r="B26" s="307"/>
      <c r="C26" s="308" t="s">
        <v>156</v>
      </c>
      <c r="D26" s="478" t="s">
        <v>154</v>
      </c>
      <c r="E26" s="479"/>
      <c r="F26" s="301">
        <f>F25</f>
        <v>2.7850733768227882</v>
      </c>
      <c r="G26" s="309">
        <f t="shared" ref="G26:U26" si="5">G25+F26</f>
        <v>5.5701467536455764</v>
      </c>
      <c r="H26" s="309">
        <f t="shared" si="5"/>
        <v>11.140293507291153</v>
      </c>
      <c r="I26" s="309">
        <f t="shared" si="5"/>
        <v>18.906407094798947</v>
      </c>
      <c r="J26" s="309">
        <f t="shared" si="5"/>
        <v>26.67252068230674</v>
      </c>
      <c r="K26" s="309">
        <f t="shared" si="5"/>
        <v>34.438634269814536</v>
      </c>
      <c r="L26" s="309">
        <f t="shared" si="5"/>
        <v>42.204747857322332</v>
      </c>
      <c r="M26" s="309">
        <f t="shared" si="5"/>
        <v>49.970861444830128</v>
      </c>
      <c r="N26" s="309">
        <f t="shared" si="5"/>
        <v>57.736975032337924</v>
      </c>
      <c r="O26" s="309">
        <f t="shared" si="5"/>
        <v>67.271200577496018</v>
      </c>
      <c r="P26" s="309">
        <f t="shared" si="5"/>
        <v>76.805426122654097</v>
      </c>
      <c r="Q26" s="309">
        <f t="shared" si="5"/>
        <v>83.554578290989397</v>
      </c>
      <c r="R26" s="309">
        <f t="shared" si="5"/>
        <v>90.303730459324697</v>
      </c>
      <c r="S26" s="309">
        <f t="shared" si="5"/>
        <v>94.267809250837203</v>
      </c>
      <c r="T26" s="309">
        <f t="shared" si="5"/>
        <v>98.231888042349709</v>
      </c>
      <c r="U26" s="309">
        <f t="shared" si="5"/>
        <v>100</v>
      </c>
      <c r="V26" s="310"/>
      <c r="W26" s="303"/>
    </row>
    <row r="27" spans="2:31" s="304" customFormat="1" ht="30" customHeight="1" x14ac:dyDescent="0.2">
      <c r="B27" s="307"/>
      <c r="C27" s="308" t="s">
        <v>155</v>
      </c>
      <c r="D27" s="476" t="s">
        <v>158</v>
      </c>
      <c r="E27" s="477"/>
      <c r="F27" s="311"/>
      <c r="G27" s="312"/>
      <c r="H27" s="312"/>
      <c r="I27" s="312"/>
      <c r="J27" s="312"/>
      <c r="K27" s="312"/>
      <c r="L27" s="313"/>
      <c r="M27" s="313"/>
      <c r="N27" s="313"/>
      <c r="O27" s="313"/>
      <c r="P27" s="313"/>
      <c r="Q27" s="313"/>
      <c r="R27" s="312"/>
      <c r="S27" s="312"/>
      <c r="T27" s="312"/>
      <c r="U27" s="312"/>
      <c r="V27" s="310"/>
      <c r="W27" s="314"/>
    </row>
    <row r="28" spans="2:31" s="304" customFormat="1" ht="30" customHeight="1" x14ac:dyDescent="0.2">
      <c r="B28" s="315"/>
      <c r="C28" s="316"/>
      <c r="D28" s="478" t="s">
        <v>154</v>
      </c>
      <c r="E28" s="479"/>
      <c r="F28" s="311"/>
      <c r="G28" s="317"/>
      <c r="H28" s="317"/>
      <c r="I28" s="317"/>
      <c r="J28" s="317"/>
      <c r="K28" s="317"/>
      <c r="L28" s="318"/>
      <c r="M28" s="318"/>
      <c r="N28" s="318"/>
      <c r="O28" s="318"/>
      <c r="P28" s="318"/>
      <c r="Q28" s="318"/>
      <c r="R28" s="317"/>
      <c r="S28" s="317"/>
      <c r="T28" s="317"/>
      <c r="U28" s="317"/>
      <c r="V28" s="310"/>
      <c r="W28" s="314"/>
    </row>
    <row r="29" spans="2:31" s="304" customFormat="1" ht="30" customHeight="1" thickBot="1" x14ac:dyDescent="0.25">
      <c r="B29" s="319"/>
      <c r="C29" s="320"/>
      <c r="D29" s="470" t="s">
        <v>159</v>
      </c>
      <c r="E29" s="471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1"/>
      <c r="U29" s="321"/>
      <c r="V29" s="322"/>
      <c r="W29" s="323"/>
    </row>
    <row r="30" spans="2:31" s="324" customFormat="1" x14ac:dyDescent="0.2">
      <c r="V30" s="325"/>
    </row>
    <row r="31" spans="2:31" s="244" customFormat="1" ht="12" x14ac:dyDescent="0.2">
      <c r="B31" s="326"/>
      <c r="C31" s="327"/>
      <c r="D31" s="328"/>
      <c r="E31" s="246"/>
      <c r="F31" s="246"/>
      <c r="G31" s="246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30"/>
      <c r="W31" s="331"/>
    </row>
    <row r="32" spans="2:31" s="244" customFormat="1" ht="12" x14ac:dyDescent="0.2">
      <c r="B32" s="326"/>
      <c r="D32" s="332"/>
      <c r="E32" s="246"/>
      <c r="F32" s="246"/>
      <c r="G32" s="246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31"/>
      <c r="W32" s="331"/>
    </row>
    <row r="33" spans="2:23" s="244" customFormat="1" ht="12" x14ac:dyDescent="0.2">
      <c r="B33" s="326"/>
      <c r="D33" s="332"/>
      <c r="E33" s="246"/>
      <c r="F33" s="246"/>
      <c r="G33" s="246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31"/>
      <c r="W33" s="331"/>
    </row>
    <row r="34" spans="2:23" s="244" customFormat="1" ht="12" x14ac:dyDescent="0.2">
      <c r="B34" s="326"/>
      <c r="D34" s="332"/>
      <c r="E34" s="246"/>
      <c r="F34" s="246"/>
      <c r="G34" s="246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31"/>
      <c r="W34" s="331"/>
    </row>
    <row r="35" spans="2:23" s="244" customFormat="1" ht="12" x14ac:dyDescent="0.2">
      <c r="B35" s="326"/>
      <c r="C35" s="333"/>
      <c r="D35" s="332"/>
      <c r="E35" s="246"/>
      <c r="F35" s="246"/>
      <c r="G35" s="246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31"/>
      <c r="W35" s="331"/>
    </row>
    <row r="36" spans="2:23" s="244" customFormat="1" ht="12" x14ac:dyDescent="0.2">
      <c r="B36" s="326"/>
      <c r="D36" s="332"/>
      <c r="E36" s="246"/>
      <c r="F36" s="246"/>
      <c r="G36" s="246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31"/>
      <c r="W36" s="331"/>
    </row>
    <row r="37" spans="2:23" s="244" customFormat="1" ht="12" x14ac:dyDescent="0.2">
      <c r="B37" s="326"/>
      <c r="D37" s="332"/>
      <c r="E37" s="246"/>
      <c r="F37" s="246"/>
      <c r="G37" s="246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31"/>
      <c r="W37" s="331"/>
    </row>
    <row r="38" spans="2:23" s="244" customFormat="1" ht="12" x14ac:dyDescent="0.2">
      <c r="B38" s="326"/>
      <c r="D38" s="332"/>
      <c r="E38" s="246"/>
      <c r="F38" s="246"/>
      <c r="G38" s="246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31"/>
      <c r="W38" s="331"/>
    </row>
    <row r="39" spans="2:23" s="244" customFormat="1" ht="12" x14ac:dyDescent="0.2">
      <c r="B39" s="326"/>
      <c r="D39" s="332"/>
      <c r="E39" s="246"/>
      <c r="F39" s="246"/>
      <c r="G39" s="246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</row>
    <row r="40" spans="2:23" s="244" customFormat="1" ht="12" x14ac:dyDescent="0.2">
      <c r="B40" s="326"/>
      <c r="D40" s="332"/>
      <c r="E40" s="246"/>
      <c r="F40" s="246"/>
      <c r="G40" s="246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</row>
    <row r="41" spans="2:23" s="244" customFormat="1" ht="12" x14ac:dyDescent="0.2">
      <c r="B41" s="326"/>
      <c r="D41" s="332"/>
      <c r="E41" s="246"/>
      <c r="F41" s="246"/>
      <c r="G41" s="246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</row>
    <row r="42" spans="2:23" s="244" customFormat="1" ht="12" x14ac:dyDescent="0.2">
      <c r="B42" s="326"/>
      <c r="D42" s="332"/>
      <c r="E42" s="246"/>
      <c r="F42" s="246"/>
      <c r="G42" s="246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</row>
    <row r="43" spans="2:23" s="244" customFormat="1" ht="12" x14ac:dyDescent="0.2">
      <c r="B43" s="326"/>
      <c r="D43" s="332"/>
      <c r="E43" s="246"/>
      <c r="F43" s="246"/>
      <c r="G43" s="246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</row>
    <row r="44" spans="2:23" s="244" customFormat="1" ht="12" x14ac:dyDescent="0.2">
      <c r="B44" s="326"/>
      <c r="D44" s="334"/>
      <c r="E44" s="246"/>
      <c r="F44" s="246"/>
      <c r="G44" s="246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</row>
    <row r="45" spans="2:23" s="244" customFormat="1" ht="12" x14ac:dyDescent="0.2">
      <c r="B45" s="326"/>
      <c r="D45" s="334"/>
      <c r="E45" s="246"/>
      <c r="F45" s="246"/>
      <c r="G45" s="246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</row>
    <row r="46" spans="2:23" s="244" customFormat="1" ht="12" x14ac:dyDescent="0.2">
      <c r="B46" s="326"/>
      <c r="D46" s="334"/>
      <c r="E46" s="246"/>
      <c r="F46" s="246"/>
      <c r="G46" s="246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</row>
    <row r="47" spans="2:23" s="244" customFormat="1" ht="12" x14ac:dyDescent="0.2">
      <c r="B47" s="326"/>
      <c r="D47" s="334"/>
      <c r="E47" s="246"/>
      <c r="F47" s="246"/>
      <c r="G47" s="246"/>
      <c r="H47" s="246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</row>
    <row r="48" spans="2:23" s="244" customFormat="1" ht="12" x14ac:dyDescent="0.2">
      <c r="B48" s="326"/>
      <c r="D48" s="334"/>
      <c r="E48" s="335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</row>
    <row r="49" spans="4:4" x14ac:dyDescent="0.2">
      <c r="D49" s="336"/>
    </row>
    <row r="50" spans="4:4" x14ac:dyDescent="0.2">
      <c r="D50" s="336"/>
    </row>
    <row r="51" spans="4:4" x14ac:dyDescent="0.2">
      <c r="D51" s="336"/>
    </row>
    <row r="52" spans="4:4" x14ac:dyDescent="0.2">
      <c r="D52" s="336"/>
    </row>
    <row r="53" spans="4:4" x14ac:dyDescent="0.2">
      <c r="D53" s="336"/>
    </row>
    <row r="54" spans="4:4" x14ac:dyDescent="0.2">
      <c r="D54" s="336"/>
    </row>
    <row r="55" spans="4:4" x14ac:dyDescent="0.2">
      <c r="D55" s="336"/>
    </row>
    <row r="56" spans="4:4" x14ac:dyDescent="0.2">
      <c r="D56" s="336"/>
    </row>
    <row r="57" spans="4:4" x14ac:dyDescent="0.2">
      <c r="D57" s="336"/>
    </row>
    <row r="58" spans="4:4" x14ac:dyDescent="0.2">
      <c r="D58" s="336"/>
    </row>
    <row r="59" spans="4:4" x14ac:dyDescent="0.2">
      <c r="D59" s="336"/>
    </row>
    <row r="60" spans="4:4" x14ac:dyDescent="0.2">
      <c r="D60" s="336"/>
    </row>
    <row r="61" spans="4:4" x14ac:dyDescent="0.2">
      <c r="D61" s="336"/>
    </row>
    <row r="62" spans="4:4" x14ac:dyDescent="0.2">
      <c r="D62" s="336"/>
    </row>
    <row r="63" spans="4:4" x14ac:dyDescent="0.2">
      <c r="D63" s="336"/>
    </row>
    <row r="64" spans="4:4" x14ac:dyDescent="0.2">
      <c r="D64" s="336"/>
    </row>
  </sheetData>
  <mergeCells count="19">
    <mergeCell ref="V8:V11"/>
    <mergeCell ref="W8:W11"/>
    <mergeCell ref="F8:I8"/>
    <mergeCell ref="B2:W2"/>
    <mergeCell ref="B8:B11"/>
    <mergeCell ref="C8:C11"/>
    <mergeCell ref="D8:D11"/>
    <mergeCell ref="E8:E11"/>
    <mergeCell ref="J8:M8"/>
    <mergeCell ref="N8:Q8"/>
    <mergeCell ref="R8:U8"/>
    <mergeCell ref="F9:U9"/>
    <mergeCell ref="D29:E29"/>
    <mergeCell ref="B23:C23"/>
    <mergeCell ref="B24:C24"/>
    <mergeCell ref="D25:E25"/>
    <mergeCell ref="D26:E26"/>
    <mergeCell ref="D27:E27"/>
    <mergeCell ref="D28:E28"/>
  </mergeCells>
  <printOptions horizontalCentered="1" verticalCentered="1"/>
  <pageMargins left="0.5" right="0.25" top="0.25" bottom="0.25" header="0.5" footer="0.5"/>
  <pageSetup paperSize="9" orientation="portrait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0000"/>
  </sheetPr>
  <dimension ref="A1:J55"/>
  <sheetViews>
    <sheetView showGridLines="0" defaultGridColor="0" view="pageBreakPreview" topLeftCell="A16" colorId="22" zoomScaleNormal="100" zoomScaleSheetLayoutView="100" workbookViewId="0">
      <selection activeCell="C19" sqref="C19"/>
    </sheetView>
  </sheetViews>
  <sheetFormatPr defaultColWidth="11.42578125" defaultRowHeight="15" x14ac:dyDescent="0.2"/>
  <cols>
    <col min="1" max="1" width="5.5703125" style="112" customWidth="1"/>
    <col min="2" max="2" width="13.85546875" style="112" customWidth="1"/>
    <col min="3" max="3" width="33" style="112" customWidth="1"/>
    <col min="4" max="4" width="7.85546875" style="112" customWidth="1"/>
    <col min="5" max="5" width="4" style="194" customWidth="1"/>
    <col min="6" max="6" width="16.5703125" style="112" customWidth="1"/>
    <col min="7" max="7" width="20.85546875" style="112" customWidth="1"/>
    <col min="8" max="8" width="24.5703125" style="216" customWidth="1"/>
    <col min="9" max="9" width="16.28515625" style="216" bestFit="1" customWidth="1"/>
    <col min="10" max="16384" width="11.42578125" style="112"/>
  </cols>
  <sheetData>
    <row r="1" spans="1:8" ht="21" thickTop="1" x14ac:dyDescent="0.3">
      <c r="A1" s="506" t="s">
        <v>180</v>
      </c>
      <c r="B1" s="507"/>
      <c r="C1" s="507"/>
      <c r="D1" s="507"/>
      <c r="E1" s="507"/>
      <c r="F1" s="507"/>
      <c r="G1" s="507"/>
      <c r="H1" s="456"/>
    </row>
    <row r="2" spans="1:8" ht="15.95" customHeight="1" x14ac:dyDescent="0.2">
      <c r="A2" s="113"/>
      <c r="B2" s="96"/>
      <c r="C2" s="96"/>
      <c r="D2" s="96"/>
      <c r="E2" s="96"/>
      <c r="F2" s="96"/>
      <c r="G2" s="96"/>
      <c r="H2" s="456"/>
    </row>
    <row r="3" spans="1:8" ht="15.95" customHeight="1" x14ac:dyDescent="0.2">
      <c r="A3" s="113"/>
      <c r="B3" s="96"/>
      <c r="C3" s="96"/>
      <c r="D3" s="96"/>
      <c r="E3" s="96"/>
      <c r="F3" s="96"/>
      <c r="G3" s="96"/>
      <c r="H3" s="456"/>
    </row>
    <row r="4" spans="1:8" ht="15.95" customHeight="1" x14ac:dyDescent="0.2">
      <c r="A4" s="113" t="s">
        <v>152</v>
      </c>
      <c r="B4" s="96"/>
      <c r="C4" s="413" t="s">
        <v>518</v>
      </c>
      <c r="D4" s="96"/>
      <c r="E4" s="96"/>
      <c r="F4" s="96"/>
      <c r="G4" s="96"/>
      <c r="H4" s="456"/>
    </row>
    <row r="5" spans="1:8" ht="15.95" customHeight="1" x14ac:dyDescent="0.2">
      <c r="A5" s="113" t="s">
        <v>151</v>
      </c>
      <c r="B5" s="96"/>
      <c r="C5" s="413" t="s">
        <v>528</v>
      </c>
      <c r="D5" s="96"/>
      <c r="E5" s="96"/>
      <c r="F5" s="96"/>
      <c r="G5" s="96"/>
      <c r="H5" s="456"/>
    </row>
    <row r="6" spans="1:8" ht="15.95" customHeight="1" x14ac:dyDescent="0.2">
      <c r="A6" s="113"/>
      <c r="B6" s="96"/>
      <c r="C6" s="96"/>
      <c r="D6" s="96"/>
      <c r="E6" s="96"/>
      <c r="F6" s="96"/>
      <c r="G6" s="96"/>
      <c r="H6" s="456"/>
    </row>
    <row r="7" spans="1:8" ht="15.95" customHeight="1" x14ac:dyDescent="0.2">
      <c r="A7" s="113"/>
      <c r="B7" s="96"/>
      <c r="C7" s="96"/>
      <c r="D7" s="96"/>
      <c r="E7" s="96"/>
      <c r="F7" s="96"/>
      <c r="G7" s="96"/>
      <c r="H7" s="456"/>
    </row>
    <row r="8" spans="1:8" ht="15.95" customHeight="1" x14ac:dyDescent="0.2">
      <c r="A8" s="508" t="s">
        <v>0</v>
      </c>
      <c r="B8" s="510" t="s">
        <v>152</v>
      </c>
      <c r="C8" s="511"/>
      <c r="D8" s="511"/>
      <c r="E8" s="511"/>
      <c r="F8" s="465"/>
      <c r="G8" s="404" t="s">
        <v>198</v>
      </c>
      <c r="H8" s="466" t="s">
        <v>198</v>
      </c>
    </row>
    <row r="9" spans="1:8" ht="15.95" customHeight="1" thickBot="1" x14ac:dyDescent="0.25">
      <c r="A9" s="509"/>
      <c r="B9" s="512"/>
      <c r="C9" s="513"/>
      <c r="D9" s="513"/>
      <c r="E9" s="513"/>
      <c r="F9" s="467"/>
      <c r="G9" s="405" t="s">
        <v>2</v>
      </c>
      <c r="H9" s="468" t="s">
        <v>522</v>
      </c>
    </row>
    <row r="10" spans="1:8" ht="15.95" customHeight="1" thickTop="1" x14ac:dyDescent="0.2">
      <c r="A10" s="116" t="s">
        <v>3</v>
      </c>
      <c r="B10" s="1" t="s">
        <v>192</v>
      </c>
      <c r="C10" s="117"/>
      <c r="D10" s="117"/>
      <c r="E10" s="117"/>
      <c r="F10" s="117"/>
      <c r="G10" s="435">
        <f>'LOCAL PER 3 CLASSES'!G24</f>
        <v>748203000</v>
      </c>
      <c r="H10" s="461">
        <f>G10/13500</f>
        <v>55422.444444444445</v>
      </c>
    </row>
    <row r="11" spans="1:8" ht="15.95" customHeight="1" x14ac:dyDescent="0.2">
      <c r="A11" s="116" t="s">
        <v>4</v>
      </c>
      <c r="B11" s="1" t="s">
        <v>192</v>
      </c>
      <c r="C11" s="117"/>
      <c r="D11" s="117"/>
      <c r="E11" s="117"/>
      <c r="F11" s="117"/>
      <c r="G11" s="435">
        <f>G10</f>
        <v>748203000</v>
      </c>
      <c r="H11" s="461">
        <f t="shared" ref="H11:H14" si="0">G11/13500</f>
        <v>55422.444444444445</v>
      </c>
    </row>
    <row r="12" spans="1:8" ht="15.95" customHeight="1" x14ac:dyDescent="0.2">
      <c r="A12" s="116" t="s">
        <v>5</v>
      </c>
      <c r="B12" s="1" t="s">
        <v>193</v>
      </c>
      <c r="C12" s="117"/>
      <c r="D12" s="117"/>
      <c r="E12" s="117"/>
      <c r="F12" s="117"/>
      <c r="G12" s="435">
        <f>'TEACHER''S ROOM, PRINCIPAL...'!G25</f>
        <v>643572000</v>
      </c>
      <c r="H12" s="461">
        <f t="shared" si="0"/>
        <v>47672</v>
      </c>
    </row>
    <row r="13" spans="1:8" ht="15.95" customHeight="1" x14ac:dyDescent="0.2">
      <c r="A13" s="116" t="s">
        <v>6</v>
      </c>
      <c r="B13" s="1" t="s">
        <v>194</v>
      </c>
      <c r="C13" s="117"/>
      <c r="D13" s="117"/>
      <c r="E13" s="117"/>
      <c r="F13" s="117"/>
      <c r="G13" s="435">
        <f>LIBRARY!G24</f>
        <v>302272000</v>
      </c>
      <c r="H13" s="461">
        <f t="shared" si="0"/>
        <v>22390.518518518518</v>
      </c>
    </row>
    <row r="14" spans="1:8" ht="15.95" customHeight="1" x14ac:dyDescent="0.2">
      <c r="A14" s="118" t="s">
        <v>38</v>
      </c>
      <c r="B14" s="119" t="s">
        <v>195</v>
      </c>
      <c r="C14" s="120"/>
      <c r="D14" s="120"/>
      <c r="E14" s="120"/>
      <c r="F14" s="120"/>
      <c r="G14" s="436">
        <f>MEUBELAIR!I25</f>
        <v>192610000</v>
      </c>
      <c r="H14" s="461">
        <f t="shared" si="0"/>
        <v>14267.407407407407</v>
      </c>
    </row>
    <row r="15" spans="1:8" ht="15.95" customHeight="1" x14ac:dyDescent="0.2">
      <c r="A15" s="118"/>
      <c r="B15" s="119"/>
      <c r="C15" s="120"/>
      <c r="D15" s="120"/>
      <c r="E15" s="120"/>
      <c r="F15" s="120"/>
      <c r="G15" s="436"/>
      <c r="H15" s="462"/>
    </row>
    <row r="16" spans="1:8" ht="15.95" customHeight="1" x14ac:dyDescent="0.2">
      <c r="A16" s="121"/>
      <c r="B16" s="122"/>
      <c r="C16" s="122"/>
      <c r="D16" s="122"/>
      <c r="E16" s="122"/>
      <c r="F16" s="123" t="s">
        <v>116</v>
      </c>
      <c r="G16" s="437">
        <f>SUM(G10:G14)</f>
        <v>2634860000</v>
      </c>
      <c r="H16" s="124">
        <f>SUM(H10:H14)</f>
        <v>195174.8148148148</v>
      </c>
    </row>
    <row r="17" spans="1:10" ht="15.95" customHeight="1" x14ac:dyDescent="0.2">
      <c r="A17" s="125"/>
      <c r="B17" s="126"/>
      <c r="C17" s="127"/>
      <c r="D17" s="127"/>
      <c r="E17" s="127"/>
      <c r="F17" s="128"/>
      <c r="G17" s="127"/>
      <c r="H17" s="469"/>
    </row>
    <row r="18" spans="1:10" ht="15.95" customHeight="1" x14ac:dyDescent="0.2">
      <c r="A18" s="130"/>
      <c r="B18" s="96"/>
      <c r="C18" s="438"/>
      <c r="D18" s="96"/>
      <c r="E18" s="96"/>
      <c r="F18" s="97" t="s">
        <v>116</v>
      </c>
      <c r="G18" s="438">
        <f>G16</f>
        <v>2634860000</v>
      </c>
      <c r="H18" s="131">
        <f>H16</f>
        <v>195174.8148148148</v>
      </c>
    </row>
    <row r="19" spans="1:10" ht="15.95" customHeight="1" x14ac:dyDescent="0.2">
      <c r="A19" s="130"/>
      <c r="B19" s="96"/>
      <c r="C19" s="96"/>
      <c r="D19" s="96"/>
      <c r="E19" s="96"/>
      <c r="F19" s="400" t="s">
        <v>196</v>
      </c>
      <c r="G19" s="439">
        <f>INT(G18/1000)*1000</f>
        <v>2634860000</v>
      </c>
      <c r="H19" s="132">
        <f>INT(H18/1)*1</f>
        <v>195174</v>
      </c>
      <c r="J19" s="112">
        <v>195174</v>
      </c>
    </row>
    <row r="20" spans="1:10" x14ac:dyDescent="0.2">
      <c r="A20" s="130"/>
      <c r="B20" s="96"/>
      <c r="C20" s="96"/>
      <c r="D20" s="96"/>
      <c r="E20" s="96"/>
      <c r="F20" s="97"/>
      <c r="G20" s="440"/>
      <c r="H20" s="456"/>
    </row>
    <row r="21" spans="1:10" x14ac:dyDescent="0.2">
      <c r="A21" s="130"/>
      <c r="B21" s="96"/>
      <c r="C21" s="133"/>
      <c r="D21" s="133"/>
      <c r="E21" s="133"/>
      <c r="F21" s="134"/>
      <c r="G21" s="440"/>
      <c r="H21" s="456"/>
    </row>
    <row r="22" spans="1:10" x14ac:dyDescent="0.2">
      <c r="A22" s="130"/>
      <c r="B22" s="96"/>
      <c r="C22" s="133"/>
      <c r="D22" s="133"/>
      <c r="E22" s="133"/>
      <c r="F22" s="134"/>
      <c r="G22" s="440"/>
      <c r="H22" s="456"/>
    </row>
    <row r="23" spans="1:10" x14ac:dyDescent="0.2">
      <c r="A23" s="130"/>
      <c r="B23" s="96"/>
      <c r="C23" s="133"/>
      <c r="D23" s="133"/>
      <c r="E23" s="133"/>
      <c r="F23" s="134"/>
      <c r="G23" s="440"/>
      <c r="H23" s="456"/>
    </row>
    <row r="24" spans="1:10" x14ac:dyDescent="0.2">
      <c r="A24" s="113"/>
      <c r="B24" s="96"/>
      <c r="C24" s="96"/>
      <c r="D24" s="96"/>
      <c r="E24" s="96"/>
      <c r="F24" s="97"/>
      <c r="G24" s="438"/>
      <c r="H24" s="456"/>
    </row>
    <row r="25" spans="1:10" x14ac:dyDescent="0.2">
      <c r="A25" s="113"/>
      <c r="B25" s="96"/>
      <c r="C25" s="96"/>
      <c r="D25" s="96"/>
      <c r="E25" s="504"/>
      <c r="F25" s="504"/>
      <c r="G25" s="504"/>
      <c r="H25" s="456"/>
    </row>
    <row r="26" spans="1:10" x14ac:dyDescent="0.2">
      <c r="A26" s="113"/>
      <c r="B26" s="96"/>
      <c r="C26" s="96"/>
      <c r="D26" s="96"/>
      <c r="E26" s="505"/>
      <c r="F26" s="504"/>
      <c r="G26" s="504"/>
      <c r="H26" s="456"/>
    </row>
    <row r="27" spans="1:10" x14ac:dyDescent="0.2">
      <c r="A27" s="113"/>
      <c r="B27" s="96"/>
      <c r="C27" s="96"/>
      <c r="D27" s="96"/>
      <c r="E27" s="504"/>
      <c r="F27" s="504"/>
      <c r="G27" s="504"/>
      <c r="H27" s="456"/>
    </row>
    <row r="28" spans="1:10" x14ac:dyDescent="0.2">
      <c r="A28" s="113"/>
      <c r="B28" s="96"/>
      <c r="C28" s="96"/>
      <c r="D28" s="96"/>
      <c r="E28" s="505"/>
      <c r="F28" s="504"/>
      <c r="G28" s="504"/>
      <c r="H28" s="456"/>
    </row>
    <row r="29" spans="1:10" x14ac:dyDescent="0.2">
      <c r="A29" s="113"/>
      <c r="B29" s="96"/>
      <c r="C29" s="96"/>
      <c r="D29" s="96"/>
      <c r="E29" s="96"/>
      <c r="F29" s="97"/>
      <c r="G29" s="96"/>
      <c r="H29" s="456"/>
    </row>
    <row r="30" spans="1:10" x14ac:dyDescent="0.2">
      <c r="A30" s="113"/>
      <c r="B30" s="96"/>
      <c r="C30" s="96"/>
      <c r="D30" s="96"/>
      <c r="E30" s="504"/>
      <c r="F30" s="504"/>
      <c r="G30" s="504"/>
      <c r="H30" s="456"/>
    </row>
    <row r="31" spans="1:10" x14ac:dyDescent="0.2">
      <c r="A31" s="113"/>
      <c r="B31" s="96"/>
      <c r="C31" s="96"/>
      <c r="D31" s="96"/>
      <c r="E31" s="96"/>
      <c r="F31" s="97"/>
      <c r="G31" s="96"/>
      <c r="H31" s="456"/>
    </row>
    <row r="32" spans="1:10" x14ac:dyDescent="0.2">
      <c r="A32" s="113"/>
      <c r="B32" s="96"/>
      <c r="C32" s="96"/>
      <c r="D32" s="96"/>
      <c r="E32" s="504"/>
      <c r="F32" s="504"/>
      <c r="G32" s="504"/>
      <c r="H32" s="456"/>
    </row>
    <row r="33" spans="1:8" x14ac:dyDescent="0.2">
      <c r="A33" s="113"/>
      <c r="B33" s="96"/>
      <c r="C33" s="96"/>
      <c r="D33" s="96"/>
      <c r="E33" s="96"/>
      <c r="F33" s="111"/>
      <c r="G33" s="401"/>
      <c r="H33" s="456"/>
    </row>
    <row r="34" spans="1:8" ht="15.75" thickBot="1" x14ac:dyDescent="0.25">
      <c r="A34" s="135"/>
      <c r="B34" s="136"/>
      <c r="C34" s="136"/>
      <c r="D34" s="136"/>
      <c r="E34" s="136"/>
      <c r="F34" s="137"/>
      <c r="G34" s="137"/>
      <c r="H34" s="464"/>
    </row>
    <row r="35" spans="1:8" ht="15.75" thickTop="1" x14ac:dyDescent="0.2">
      <c r="A35" s="96"/>
      <c r="B35" s="96"/>
      <c r="C35" s="96"/>
      <c r="D35" s="96"/>
      <c r="E35" s="96"/>
      <c r="F35" s="111"/>
      <c r="G35" s="111"/>
    </row>
    <row r="36" spans="1:8" x14ac:dyDescent="0.2">
      <c r="A36" s="96"/>
      <c r="B36" s="96"/>
      <c r="C36" s="96"/>
      <c r="D36" s="96"/>
      <c r="E36" s="96"/>
      <c r="F36" s="111"/>
      <c r="G36" s="111"/>
    </row>
    <row r="37" spans="1:8" x14ac:dyDescent="0.2">
      <c r="A37" s="96"/>
      <c r="B37" s="96"/>
      <c r="C37" s="96"/>
      <c r="D37" s="96"/>
      <c r="E37" s="96"/>
      <c r="F37" s="111"/>
      <c r="G37" s="111"/>
    </row>
    <row r="38" spans="1:8" x14ac:dyDescent="0.2">
      <c r="A38" s="96"/>
      <c r="B38" s="96"/>
      <c r="C38" s="96"/>
      <c r="D38" s="96"/>
      <c r="E38" s="96"/>
      <c r="F38" s="111"/>
      <c r="G38" s="111"/>
    </row>
    <row r="39" spans="1:8" x14ac:dyDescent="0.2">
      <c r="A39" s="96"/>
      <c r="B39" s="96"/>
      <c r="C39" s="96"/>
      <c r="D39" s="96"/>
      <c r="E39" s="96"/>
      <c r="F39" s="111"/>
      <c r="G39" s="111"/>
    </row>
    <row r="40" spans="1:8" x14ac:dyDescent="0.2">
      <c r="A40" s="96"/>
      <c r="B40" s="96"/>
      <c r="C40" s="96"/>
      <c r="D40" s="96"/>
      <c r="E40" s="96"/>
      <c r="F40" s="111"/>
      <c r="G40" s="111"/>
    </row>
    <row r="41" spans="1:8" x14ac:dyDescent="0.2">
      <c r="A41" s="96"/>
      <c r="B41" s="96"/>
      <c r="C41" s="96"/>
      <c r="D41" s="96"/>
      <c r="E41" s="96"/>
      <c r="F41" s="111"/>
      <c r="G41" s="111"/>
    </row>
    <row r="42" spans="1:8" x14ac:dyDescent="0.2">
      <c r="A42" s="96"/>
      <c r="B42" s="96"/>
      <c r="C42" s="96"/>
      <c r="D42" s="96"/>
      <c r="E42" s="96"/>
      <c r="F42" s="111"/>
      <c r="G42" s="111"/>
    </row>
    <row r="43" spans="1:8" x14ac:dyDescent="0.2">
      <c r="A43" s="96"/>
      <c r="B43" s="96"/>
      <c r="C43" s="96"/>
      <c r="D43" s="96"/>
      <c r="E43" s="96"/>
      <c r="F43" s="111"/>
      <c r="G43" s="111"/>
    </row>
    <row r="44" spans="1:8" x14ac:dyDescent="0.2">
      <c r="A44" s="96"/>
      <c r="B44" s="96"/>
      <c r="C44" s="96"/>
      <c r="D44" s="96"/>
      <c r="E44" s="96"/>
      <c r="F44" s="111"/>
      <c r="G44" s="111"/>
    </row>
    <row r="45" spans="1:8" x14ac:dyDescent="0.2">
      <c r="A45" s="96"/>
      <c r="B45" s="96"/>
      <c r="C45" s="96"/>
      <c r="D45" s="96"/>
      <c r="E45" s="96"/>
      <c r="F45" s="111"/>
      <c r="G45" s="111"/>
    </row>
    <row r="46" spans="1:8" x14ac:dyDescent="0.2">
      <c r="A46" s="96"/>
      <c r="B46" s="96"/>
      <c r="C46" s="96"/>
      <c r="D46" s="96"/>
      <c r="E46" s="96"/>
      <c r="F46" s="111"/>
      <c r="G46" s="111"/>
    </row>
    <row r="47" spans="1:8" x14ac:dyDescent="0.2">
      <c r="A47" s="96"/>
      <c r="B47" s="96"/>
      <c r="C47" s="96"/>
      <c r="D47" s="96"/>
      <c r="E47" s="96"/>
      <c r="F47" s="111"/>
      <c r="G47" s="111"/>
    </row>
    <row r="48" spans="1:8" x14ac:dyDescent="0.2">
      <c r="A48" s="96"/>
      <c r="B48" s="96"/>
      <c r="C48" s="96"/>
      <c r="D48" s="96"/>
      <c r="E48" s="96"/>
      <c r="F48" s="111"/>
      <c r="G48" s="111"/>
    </row>
    <row r="49" spans="1:7" x14ac:dyDescent="0.2">
      <c r="A49" s="96"/>
      <c r="B49" s="96"/>
      <c r="C49" s="96"/>
      <c r="D49" s="96"/>
      <c r="E49" s="96"/>
      <c r="F49" s="111"/>
      <c r="G49" s="111"/>
    </row>
    <row r="50" spans="1:7" x14ac:dyDescent="0.2">
      <c r="A50" s="96"/>
      <c r="B50" s="96"/>
      <c r="C50" s="96"/>
      <c r="D50" s="96"/>
      <c r="E50" s="96"/>
      <c r="F50" s="111"/>
      <c r="G50" s="111"/>
    </row>
    <row r="51" spans="1:7" x14ac:dyDescent="0.2">
      <c r="A51" s="96"/>
      <c r="B51" s="96"/>
      <c r="C51" s="96"/>
      <c r="D51" s="96"/>
      <c r="E51" s="96"/>
      <c r="F51" s="111"/>
      <c r="G51" s="111"/>
    </row>
    <row r="52" spans="1:7" x14ac:dyDescent="0.2">
      <c r="A52" s="96"/>
      <c r="B52" s="96"/>
      <c r="C52" s="96"/>
      <c r="D52" s="96"/>
      <c r="E52" s="96"/>
      <c r="F52" s="111"/>
      <c r="G52" s="111"/>
    </row>
    <row r="53" spans="1:7" x14ac:dyDescent="0.2">
      <c r="A53" s="96"/>
      <c r="B53" s="96"/>
      <c r="C53" s="96"/>
      <c r="D53" s="96"/>
      <c r="E53" s="96"/>
      <c r="F53" s="111"/>
      <c r="G53" s="111"/>
    </row>
    <row r="54" spans="1:7" x14ac:dyDescent="0.2">
      <c r="A54" s="96"/>
      <c r="B54" s="96"/>
      <c r="C54" s="96"/>
      <c r="D54" s="96"/>
      <c r="E54" s="96"/>
      <c r="F54" s="111"/>
      <c r="G54" s="111"/>
    </row>
    <row r="55" spans="1:7" x14ac:dyDescent="0.2">
      <c r="A55" s="96"/>
      <c r="B55" s="96"/>
      <c r="C55" s="96"/>
      <c r="D55" s="96"/>
      <c r="E55" s="96"/>
      <c r="F55" s="111"/>
      <c r="G55" s="111"/>
    </row>
  </sheetData>
  <mergeCells count="10">
    <mergeCell ref="E27:G27"/>
    <mergeCell ref="E28:G28"/>
    <mergeCell ref="E30:G30"/>
    <mergeCell ref="E32:G32"/>
    <mergeCell ref="A1:G1"/>
    <mergeCell ref="A8:A9"/>
    <mergeCell ref="B8:C9"/>
    <mergeCell ref="D8:E9"/>
    <mergeCell ref="E25:G25"/>
    <mergeCell ref="E26:G26"/>
  </mergeCells>
  <printOptions horizontalCentered="1" verticalCentered="1"/>
  <pageMargins left="0.5" right="0.25" top="0.25" bottom="0.25" header="0.5" footer="0.5"/>
  <pageSetup paperSize="9" scale="77" orientation="portrait" horizontalDpi="4294967293" verticalDpi="4294967293" r:id="rId1"/>
  <headerFooter alignWithMargins="0"/>
  <rowBreaks count="6" manualBreakCount="6">
    <brk id="399" max="65535" man="1"/>
    <brk id="456" max="65535" man="1"/>
    <brk id="477" max="65535" man="1"/>
    <brk id="506" max="65535" man="1"/>
    <brk id="555" max="65535" man="1"/>
    <brk id="621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0000"/>
  </sheetPr>
  <dimension ref="A1:I151"/>
  <sheetViews>
    <sheetView showGridLines="0" defaultGridColor="0" topLeftCell="A7" colorId="22" zoomScale="85" zoomScaleNormal="85" zoomScaleSheetLayoutView="100" workbookViewId="0">
      <selection activeCell="C6" sqref="C6"/>
    </sheetView>
  </sheetViews>
  <sheetFormatPr defaultColWidth="11.42578125" defaultRowHeight="15" x14ac:dyDescent="0.2"/>
  <cols>
    <col min="1" max="1" width="5.5703125" style="112" customWidth="1"/>
    <col min="2" max="2" width="13.85546875" style="112" customWidth="1"/>
    <col min="3" max="3" width="33" style="112" customWidth="1"/>
    <col min="4" max="4" width="7.85546875" style="112" customWidth="1"/>
    <col min="5" max="5" width="5.5703125" style="194" bestFit="1" customWidth="1"/>
    <col min="6" max="6" width="16.5703125" style="112" customWidth="1"/>
    <col min="7" max="7" width="20.85546875" style="112" customWidth="1"/>
    <col min="8" max="16384" width="11.42578125" style="112"/>
  </cols>
  <sheetData>
    <row r="1" spans="1:8" ht="21" thickTop="1" x14ac:dyDescent="0.3">
      <c r="A1" s="506" t="s">
        <v>201</v>
      </c>
      <c r="B1" s="507"/>
      <c r="C1" s="507"/>
      <c r="D1" s="507"/>
      <c r="E1" s="507"/>
      <c r="F1" s="507"/>
      <c r="G1" s="507"/>
      <c r="H1" s="451"/>
    </row>
    <row r="2" spans="1:8" ht="15.95" customHeight="1" x14ac:dyDescent="0.25">
      <c r="A2" s="525" t="s">
        <v>206</v>
      </c>
      <c r="B2" s="516"/>
      <c r="C2" s="516"/>
      <c r="D2" s="516"/>
      <c r="E2" s="516"/>
      <c r="F2" s="516"/>
      <c r="G2" s="516"/>
      <c r="H2" s="451"/>
    </row>
    <row r="3" spans="1:8" ht="15.95" customHeight="1" x14ac:dyDescent="0.2">
      <c r="A3" s="113"/>
      <c r="B3" s="96"/>
      <c r="C3" s="96"/>
      <c r="D3" s="96"/>
      <c r="E3" s="96"/>
      <c r="F3" s="96"/>
      <c r="G3" s="96"/>
      <c r="H3" s="451"/>
    </row>
    <row r="4" spans="1:8" ht="15.95" customHeight="1" x14ac:dyDescent="0.2">
      <c r="A4" s="113" t="s">
        <v>152</v>
      </c>
      <c r="B4" s="96"/>
      <c r="C4" s="413" t="s">
        <v>518</v>
      </c>
      <c r="D4" s="96"/>
      <c r="E4" s="96"/>
      <c r="F4" s="96"/>
      <c r="G4" s="96"/>
      <c r="H4" s="451"/>
    </row>
    <row r="5" spans="1:8" ht="15.95" customHeight="1" x14ac:dyDescent="0.2">
      <c r="A5" s="113" t="s">
        <v>151</v>
      </c>
      <c r="B5" s="96"/>
      <c r="C5" s="413" t="s">
        <v>528</v>
      </c>
      <c r="D5" s="96"/>
      <c r="E5" s="96"/>
      <c r="F5" s="96"/>
      <c r="G5" s="96"/>
      <c r="H5" s="451"/>
    </row>
    <row r="6" spans="1:8" ht="15.95" customHeight="1" x14ac:dyDescent="0.2">
      <c r="A6" s="113" t="s">
        <v>200</v>
      </c>
      <c r="B6" s="96"/>
      <c r="C6" s="96" t="s">
        <v>131</v>
      </c>
      <c r="D6" s="96"/>
      <c r="E6" s="96"/>
      <c r="F6" s="96"/>
      <c r="G6" s="96"/>
      <c r="H6" s="451"/>
    </row>
    <row r="7" spans="1:8" ht="15.95" customHeight="1" x14ac:dyDescent="0.2">
      <c r="A7" s="113"/>
      <c r="B7" s="96"/>
      <c r="C7" s="96"/>
      <c r="D7" s="96"/>
      <c r="E7" s="96"/>
      <c r="F7" s="96"/>
      <c r="G7" s="96"/>
      <c r="H7" s="451"/>
    </row>
    <row r="8" spans="1:8" ht="15.95" customHeight="1" x14ac:dyDescent="0.2">
      <c r="A8" s="519" t="s">
        <v>0</v>
      </c>
      <c r="B8" s="521" t="s">
        <v>152</v>
      </c>
      <c r="C8" s="522"/>
      <c r="D8" s="522"/>
      <c r="E8" s="522"/>
      <c r="F8" s="114"/>
      <c r="G8" s="402" t="s">
        <v>202</v>
      </c>
      <c r="H8" s="452" t="s">
        <v>202</v>
      </c>
    </row>
    <row r="9" spans="1:8" ht="15.95" customHeight="1" thickBot="1" x14ac:dyDescent="0.25">
      <c r="A9" s="520"/>
      <c r="B9" s="523"/>
      <c r="C9" s="524"/>
      <c r="D9" s="524"/>
      <c r="E9" s="524"/>
      <c r="F9" s="115"/>
      <c r="G9" s="403" t="s">
        <v>2</v>
      </c>
      <c r="H9" s="453" t="s">
        <v>522</v>
      </c>
    </row>
    <row r="10" spans="1:8" ht="15.95" customHeight="1" thickTop="1" x14ac:dyDescent="0.2">
      <c r="A10" s="116" t="s">
        <v>3</v>
      </c>
      <c r="B10" s="1" t="s">
        <v>182</v>
      </c>
      <c r="C10" s="117"/>
      <c r="D10" s="117"/>
      <c r="E10" s="117"/>
      <c r="F10" s="117"/>
      <c r="G10" s="435">
        <f>G79</f>
        <v>71865501.400000006</v>
      </c>
      <c r="H10" s="461">
        <f>G10/13500</f>
        <v>5323.3704740740741</v>
      </c>
    </row>
    <row r="11" spans="1:8" ht="15.95" customHeight="1" x14ac:dyDescent="0.2">
      <c r="A11" s="116" t="s">
        <v>4</v>
      </c>
      <c r="B11" s="1" t="s">
        <v>183</v>
      </c>
      <c r="C11" s="117"/>
      <c r="D11" s="117"/>
      <c r="E11" s="117"/>
      <c r="F11" s="117"/>
      <c r="G11" s="435">
        <f>G87</f>
        <v>23772566.664000001</v>
      </c>
      <c r="H11" s="461">
        <f t="shared" ref="H11:H19" si="0">G11/13500</f>
        <v>1760.9308640000002</v>
      </c>
    </row>
    <row r="12" spans="1:8" ht="15.95" customHeight="1" x14ac:dyDescent="0.2">
      <c r="A12" s="116" t="s">
        <v>5</v>
      </c>
      <c r="B12" s="1" t="s">
        <v>184</v>
      </c>
      <c r="C12" s="117"/>
      <c r="D12" s="117"/>
      <c r="E12" s="117"/>
      <c r="F12" s="117"/>
      <c r="G12" s="435">
        <f>G95</f>
        <v>168422927.41999999</v>
      </c>
      <c r="H12" s="461">
        <f t="shared" si="0"/>
        <v>12475.772401481481</v>
      </c>
    </row>
    <row r="13" spans="1:8" ht="15.95" customHeight="1" x14ac:dyDescent="0.2">
      <c r="A13" s="116" t="s">
        <v>6</v>
      </c>
      <c r="B13" s="1" t="s">
        <v>185</v>
      </c>
      <c r="C13" s="117"/>
      <c r="D13" s="117"/>
      <c r="E13" s="117"/>
      <c r="F13" s="117"/>
      <c r="G13" s="435">
        <f>G103</f>
        <v>99214854.535389125</v>
      </c>
      <c r="H13" s="461">
        <f t="shared" si="0"/>
        <v>7349.2484841028981</v>
      </c>
    </row>
    <row r="14" spans="1:8" ht="15.95" customHeight="1" x14ac:dyDescent="0.2">
      <c r="A14" s="116" t="s">
        <v>38</v>
      </c>
      <c r="B14" s="1" t="s">
        <v>186</v>
      </c>
      <c r="C14" s="117"/>
      <c r="D14" s="117"/>
      <c r="E14" s="117"/>
      <c r="F14" s="117"/>
      <c r="G14" s="435">
        <f>G108</f>
        <v>64090811.399999999</v>
      </c>
      <c r="H14" s="461">
        <f t="shared" si="0"/>
        <v>4747.467511111111</v>
      </c>
    </row>
    <row r="15" spans="1:8" ht="15.95" customHeight="1" x14ac:dyDescent="0.2">
      <c r="A15" s="116" t="s">
        <v>39</v>
      </c>
      <c r="B15" s="1" t="s">
        <v>187</v>
      </c>
      <c r="C15" s="117"/>
      <c r="D15" s="117"/>
      <c r="E15" s="117"/>
      <c r="F15" s="117"/>
      <c r="G15" s="435">
        <f>G112</f>
        <v>64426982.399999999</v>
      </c>
      <c r="H15" s="461">
        <f t="shared" si="0"/>
        <v>4772.3690666666662</v>
      </c>
    </row>
    <row r="16" spans="1:8" ht="15.95" customHeight="1" x14ac:dyDescent="0.2">
      <c r="A16" s="116" t="s">
        <v>7</v>
      </c>
      <c r="B16" s="1" t="s">
        <v>188</v>
      </c>
      <c r="C16" s="117"/>
      <c r="D16" s="117"/>
      <c r="E16" s="117"/>
      <c r="F16" s="117"/>
      <c r="G16" s="435">
        <f>G128</f>
        <v>67461234.549060002</v>
      </c>
      <c r="H16" s="461">
        <f t="shared" si="0"/>
        <v>4997.128485115556</v>
      </c>
    </row>
    <row r="17" spans="1:8" ht="15.95" customHeight="1" x14ac:dyDescent="0.2">
      <c r="A17" s="116" t="s">
        <v>40</v>
      </c>
      <c r="B17" s="1" t="s">
        <v>189</v>
      </c>
      <c r="C17" s="117"/>
      <c r="D17" s="117"/>
      <c r="E17" s="117"/>
      <c r="F17" s="117"/>
      <c r="G17" s="435">
        <f>G134</f>
        <v>34017024.095999993</v>
      </c>
      <c r="H17" s="461">
        <f t="shared" si="0"/>
        <v>2519.7795626666662</v>
      </c>
    </row>
    <row r="18" spans="1:8" ht="15.95" customHeight="1" x14ac:dyDescent="0.2">
      <c r="A18" s="116" t="s">
        <v>41</v>
      </c>
      <c r="B18" s="1" t="s">
        <v>190</v>
      </c>
      <c r="C18" s="117"/>
      <c r="D18" s="117"/>
      <c r="E18" s="117"/>
      <c r="F18" s="117"/>
      <c r="G18" s="435">
        <f>G143</f>
        <v>5005000</v>
      </c>
      <c r="H18" s="461">
        <f t="shared" si="0"/>
        <v>370.74074074074076</v>
      </c>
    </row>
    <row r="19" spans="1:8" ht="15.95" customHeight="1" x14ac:dyDescent="0.2">
      <c r="A19" s="116" t="s">
        <v>54</v>
      </c>
      <c r="B19" s="1" t="s">
        <v>191</v>
      </c>
      <c r="C19" s="117"/>
      <c r="D19" s="117"/>
      <c r="E19" s="117"/>
      <c r="F19" s="117"/>
      <c r="G19" s="435">
        <f>G150</f>
        <v>149926793.896</v>
      </c>
      <c r="H19" s="461">
        <f t="shared" si="0"/>
        <v>11105.68843674074</v>
      </c>
    </row>
    <row r="20" spans="1:8" ht="15.95" customHeight="1" x14ac:dyDescent="0.2">
      <c r="A20" s="118"/>
      <c r="B20" s="119"/>
      <c r="C20" s="120"/>
      <c r="D20" s="120"/>
      <c r="E20" s="120"/>
      <c r="F20" s="120"/>
      <c r="G20" s="436"/>
      <c r="H20" s="462"/>
    </row>
    <row r="21" spans="1:8" ht="15.95" customHeight="1" x14ac:dyDescent="0.2">
      <c r="A21" s="121"/>
      <c r="B21" s="122"/>
      <c r="C21" s="122"/>
      <c r="D21" s="122"/>
      <c r="E21" s="122"/>
      <c r="F21" s="123" t="s">
        <v>197</v>
      </c>
      <c r="G21" s="437">
        <f>SUM(G10:G19)</f>
        <v>748203696.36044908</v>
      </c>
      <c r="H21" s="124">
        <f>SUM(H10:H19)</f>
        <v>55422.496026699933</v>
      </c>
    </row>
    <row r="22" spans="1:8" ht="15.95" customHeight="1" x14ac:dyDescent="0.2">
      <c r="A22" s="125"/>
      <c r="B22" s="126"/>
      <c r="C22" s="127"/>
      <c r="D22" s="127"/>
      <c r="E22" s="127"/>
      <c r="F22" s="128"/>
      <c r="G22" s="127"/>
      <c r="H22" s="129"/>
    </row>
    <row r="23" spans="1:8" ht="15.95" customHeight="1" x14ac:dyDescent="0.2">
      <c r="A23" s="130"/>
      <c r="B23" s="96"/>
      <c r="C23" s="96"/>
      <c r="D23" s="96"/>
      <c r="E23" s="96"/>
      <c r="F23" s="97" t="s">
        <v>116</v>
      </c>
      <c r="G23" s="438">
        <f>G21</f>
        <v>748203696.36044908</v>
      </c>
      <c r="H23" s="131">
        <f>H21</f>
        <v>55422.496026699933</v>
      </c>
    </row>
    <row r="24" spans="1:8" ht="15.95" customHeight="1" x14ac:dyDescent="0.2">
      <c r="A24" s="130"/>
      <c r="B24" s="96"/>
      <c r="C24" s="96"/>
      <c r="D24" s="96"/>
      <c r="E24" s="96"/>
      <c r="F24" s="97" t="s">
        <v>196</v>
      </c>
      <c r="G24" s="439">
        <f>INT(G23/1000)*1000</f>
        <v>748203000</v>
      </c>
      <c r="H24" s="132">
        <f>INT(H23/1)*1</f>
        <v>55422</v>
      </c>
    </row>
    <row r="25" spans="1:8" x14ac:dyDescent="0.2">
      <c r="A25" s="130"/>
      <c r="B25" s="96"/>
      <c r="C25" s="96"/>
      <c r="D25" s="96"/>
      <c r="E25" s="96"/>
      <c r="F25" s="97"/>
      <c r="G25" s="440"/>
      <c r="H25" s="451"/>
    </row>
    <row r="26" spans="1:8" x14ac:dyDescent="0.2">
      <c r="A26" s="130"/>
      <c r="B26" s="96"/>
      <c r="C26" s="133"/>
      <c r="D26" s="133"/>
      <c r="E26" s="133"/>
      <c r="F26" s="134"/>
      <c r="G26" s="440"/>
      <c r="H26" s="451"/>
    </row>
    <row r="27" spans="1:8" x14ac:dyDescent="0.2">
      <c r="A27" s="130"/>
      <c r="B27" s="96"/>
      <c r="C27" s="133"/>
      <c r="D27" s="133"/>
      <c r="E27" s="133"/>
      <c r="F27" s="134"/>
      <c r="G27" s="440"/>
      <c r="H27" s="451"/>
    </row>
    <row r="28" spans="1:8" x14ac:dyDescent="0.2">
      <c r="A28" s="130"/>
      <c r="B28" s="96"/>
      <c r="C28" s="133"/>
      <c r="D28" s="133"/>
      <c r="E28" s="133"/>
      <c r="F28" s="134"/>
      <c r="G28" s="440"/>
      <c r="H28" s="451"/>
    </row>
    <row r="29" spans="1:8" x14ac:dyDescent="0.2">
      <c r="A29" s="113"/>
      <c r="B29" s="96"/>
      <c r="C29" s="96"/>
      <c r="D29" s="96"/>
      <c r="E29" s="96"/>
      <c r="F29" s="97"/>
      <c r="G29" s="438"/>
      <c r="H29" s="451"/>
    </row>
    <row r="30" spans="1:8" x14ac:dyDescent="0.2">
      <c r="A30" s="113"/>
      <c r="B30" s="96"/>
      <c r="C30" s="96"/>
      <c r="D30" s="96"/>
      <c r="E30" s="504"/>
      <c r="F30" s="504"/>
      <c r="G30" s="504"/>
      <c r="H30" s="451"/>
    </row>
    <row r="31" spans="1:8" x14ac:dyDescent="0.2">
      <c r="A31" s="113"/>
      <c r="B31" s="96"/>
      <c r="C31" s="96"/>
      <c r="D31" s="96"/>
      <c r="E31" s="505"/>
      <c r="F31" s="504"/>
      <c r="G31" s="504"/>
      <c r="H31" s="451"/>
    </row>
    <row r="32" spans="1:8" x14ac:dyDescent="0.2">
      <c r="A32" s="113"/>
      <c r="B32" s="96"/>
      <c r="C32" s="96"/>
      <c r="D32" s="96"/>
      <c r="E32" s="504"/>
      <c r="F32" s="504"/>
      <c r="G32" s="504"/>
      <c r="H32" s="451"/>
    </row>
    <row r="33" spans="1:8" x14ac:dyDescent="0.2">
      <c r="A33" s="113"/>
      <c r="B33" s="96"/>
      <c r="C33" s="96"/>
      <c r="D33" s="96"/>
      <c r="E33" s="505"/>
      <c r="F33" s="504"/>
      <c r="G33" s="504"/>
      <c r="H33" s="451"/>
    </row>
    <row r="34" spans="1:8" x14ac:dyDescent="0.2">
      <c r="A34" s="113"/>
      <c r="B34" s="96"/>
      <c r="C34" s="96"/>
      <c r="D34" s="96"/>
      <c r="E34" s="96"/>
      <c r="F34" s="97"/>
      <c r="G34" s="96"/>
      <c r="H34" s="451"/>
    </row>
    <row r="35" spans="1:8" x14ac:dyDescent="0.2">
      <c r="A35" s="113"/>
      <c r="B35" s="96"/>
      <c r="C35" s="96"/>
      <c r="D35" s="96"/>
      <c r="E35" s="504"/>
      <c r="F35" s="504"/>
      <c r="G35" s="504"/>
      <c r="H35" s="451"/>
    </row>
    <row r="36" spans="1:8" x14ac:dyDescent="0.2">
      <c r="A36" s="113"/>
      <c r="B36" s="96"/>
      <c r="C36" s="96"/>
      <c r="D36" s="96"/>
      <c r="E36" s="96"/>
      <c r="F36" s="97"/>
      <c r="G36" s="96"/>
      <c r="H36" s="451"/>
    </row>
    <row r="37" spans="1:8" x14ac:dyDescent="0.2">
      <c r="A37" s="113"/>
      <c r="B37" s="96"/>
      <c r="C37" s="96"/>
      <c r="D37" s="96"/>
      <c r="E37" s="504"/>
      <c r="F37" s="504"/>
      <c r="G37" s="504"/>
      <c r="H37" s="451"/>
    </row>
    <row r="38" spans="1:8" x14ac:dyDescent="0.2">
      <c r="A38" s="113"/>
      <c r="B38" s="96"/>
      <c r="C38" s="96"/>
      <c r="D38" s="96"/>
      <c r="E38" s="96"/>
      <c r="F38" s="111"/>
      <c r="G38" s="401"/>
      <c r="H38" s="451"/>
    </row>
    <row r="39" spans="1:8" ht="15.75" thickBot="1" x14ac:dyDescent="0.25">
      <c r="A39" s="135"/>
      <c r="B39" s="136"/>
      <c r="C39" s="136"/>
      <c r="D39" s="136"/>
      <c r="E39" s="136"/>
      <c r="F39" s="137"/>
      <c r="G39" s="137"/>
      <c r="H39" s="458"/>
    </row>
    <row r="40" spans="1:8" ht="15.75" thickTop="1" x14ac:dyDescent="0.2">
      <c r="A40" s="96"/>
      <c r="B40" s="96"/>
      <c r="C40" s="96"/>
      <c r="D40" s="96"/>
      <c r="E40" s="96"/>
      <c r="F40" s="111"/>
      <c r="G40" s="111"/>
    </row>
    <row r="41" spans="1:8" x14ac:dyDescent="0.2">
      <c r="A41" s="96"/>
      <c r="B41" s="96"/>
      <c r="C41" s="96"/>
      <c r="D41" s="96"/>
      <c r="E41" s="96"/>
      <c r="F41" s="111"/>
      <c r="G41" s="111"/>
    </row>
    <row r="42" spans="1:8" x14ac:dyDescent="0.2">
      <c r="A42" s="96"/>
      <c r="B42" s="96"/>
      <c r="C42" s="96"/>
      <c r="D42" s="96"/>
      <c r="E42" s="96"/>
      <c r="F42" s="111"/>
      <c r="G42" s="111"/>
    </row>
    <row r="43" spans="1:8" x14ac:dyDescent="0.2">
      <c r="A43" s="96"/>
      <c r="B43" s="96"/>
      <c r="C43" s="96"/>
      <c r="D43" s="96"/>
      <c r="E43" s="96"/>
      <c r="F43" s="111"/>
      <c r="G43" s="111"/>
    </row>
    <row r="44" spans="1:8" x14ac:dyDescent="0.2">
      <c r="A44" s="96"/>
      <c r="B44" s="96"/>
      <c r="C44" s="96"/>
      <c r="D44" s="96"/>
      <c r="E44" s="96"/>
      <c r="F44" s="111"/>
      <c r="G44" s="111"/>
    </row>
    <row r="45" spans="1:8" x14ac:dyDescent="0.2">
      <c r="A45" s="96"/>
      <c r="B45" s="96"/>
      <c r="C45" s="96"/>
      <c r="D45" s="96"/>
      <c r="E45" s="96"/>
      <c r="F45" s="111"/>
      <c r="G45" s="111"/>
    </row>
    <row r="46" spans="1:8" x14ac:dyDescent="0.2">
      <c r="A46" s="96"/>
      <c r="B46" s="96"/>
      <c r="C46" s="96"/>
      <c r="D46" s="96"/>
      <c r="E46" s="96"/>
      <c r="F46" s="111"/>
      <c r="G46" s="111"/>
    </row>
    <row r="47" spans="1:8" x14ac:dyDescent="0.2">
      <c r="A47" s="96"/>
      <c r="B47" s="96"/>
      <c r="C47" s="96"/>
      <c r="D47" s="96"/>
      <c r="E47" s="96"/>
      <c r="F47" s="111"/>
      <c r="G47" s="111"/>
    </row>
    <row r="48" spans="1:8" x14ac:dyDescent="0.2">
      <c r="A48" s="96"/>
      <c r="B48" s="96"/>
      <c r="C48" s="96"/>
      <c r="D48" s="96"/>
      <c r="E48" s="96"/>
      <c r="F48" s="111"/>
      <c r="G48" s="111"/>
    </row>
    <row r="49" spans="1:7" x14ac:dyDescent="0.2">
      <c r="A49" s="96"/>
      <c r="B49" s="96"/>
      <c r="C49" s="96"/>
      <c r="D49" s="96"/>
      <c r="E49" s="96"/>
      <c r="F49" s="111"/>
      <c r="G49" s="111"/>
    </row>
    <row r="50" spans="1:7" x14ac:dyDescent="0.2">
      <c r="A50" s="96"/>
      <c r="B50" s="96"/>
      <c r="C50" s="96"/>
      <c r="D50" s="96"/>
      <c r="E50" s="96"/>
      <c r="F50" s="111"/>
      <c r="G50" s="111"/>
    </row>
    <row r="51" spans="1:7" x14ac:dyDescent="0.2">
      <c r="A51" s="96"/>
      <c r="B51" s="96"/>
      <c r="C51" s="96"/>
      <c r="D51" s="96"/>
      <c r="E51" s="96"/>
      <c r="F51" s="111"/>
      <c r="G51" s="111"/>
    </row>
    <row r="52" spans="1:7" x14ac:dyDescent="0.2">
      <c r="A52" s="96"/>
      <c r="B52" s="96"/>
      <c r="C52" s="96"/>
      <c r="D52" s="96"/>
      <c r="E52" s="96"/>
      <c r="F52" s="111"/>
      <c r="G52" s="111"/>
    </row>
    <row r="53" spans="1:7" x14ac:dyDescent="0.2">
      <c r="A53" s="96"/>
      <c r="B53" s="96"/>
      <c r="C53" s="96"/>
      <c r="D53" s="96"/>
      <c r="E53" s="96"/>
      <c r="F53" s="111"/>
      <c r="G53" s="111"/>
    </row>
    <row r="54" spans="1:7" x14ac:dyDescent="0.2">
      <c r="A54" s="96"/>
      <c r="B54" s="96"/>
      <c r="C54" s="96"/>
      <c r="D54" s="96"/>
      <c r="E54" s="96"/>
      <c r="F54" s="111"/>
      <c r="G54" s="111"/>
    </row>
    <row r="55" spans="1:7" x14ac:dyDescent="0.2">
      <c r="A55" s="96"/>
      <c r="B55" s="96"/>
      <c r="C55" s="96"/>
      <c r="D55" s="96"/>
      <c r="E55" s="96"/>
      <c r="F55" s="111"/>
      <c r="G55" s="111"/>
    </row>
    <row r="56" spans="1:7" x14ac:dyDescent="0.2">
      <c r="A56" s="96"/>
      <c r="B56" s="96"/>
      <c r="C56" s="96"/>
      <c r="D56" s="96"/>
      <c r="E56" s="96"/>
      <c r="F56" s="111"/>
      <c r="G56" s="111"/>
    </row>
    <row r="57" spans="1:7" x14ac:dyDescent="0.2">
      <c r="A57" s="96"/>
      <c r="B57" s="96"/>
      <c r="C57" s="96"/>
      <c r="D57" s="96"/>
      <c r="E57" s="96"/>
      <c r="F57" s="111"/>
      <c r="G57" s="111"/>
    </row>
    <row r="58" spans="1:7" x14ac:dyDescent="0.2">
      <c r="A58" s="96"/>
      <c r="B58" s="96"/>
      <c r="C58" s="96"/>
      <c r="D58" s="96"/>
      <c r="E58" s="96"/>
      <c r="F58" s="111"/>
      <c r="G58" s="111"/>
    </row>
    <row r="59" spans="1:7" x14ac:dyDescent="0.2">
      <c r="A59" s="96"/>
      <c r="B59" s="96"/>
      <c r="C59" s="96"/>
      <c r="D59" s="96"/>
      <c r="E59" s="96"/>
      <c r="F59" s="111"/>
      <c r="G59" s="111"/>
    </row>
    <row r="60" spans="1:7" x14ac:dyDescent="0.2">
      <c r="A60" s="96"/>
      <c r="B60" s="96"/>
      <c r="C60" s="96"/>
      <c r="D60" s="96"/>
      <c r="E60" s="96"/>
      <c r="F60" s="111"/>
      <c r="G60" s="111"/>
    </row>
    <row r="61" spans="1:7" x14ac:dyDescent="0.2">
      <c r="A61" s="96"/>
      <c r="B61" s="96"/>
      <c r="C61" s="96"/>
      <c r="D61" s="96"/>
      <c r="E61" s="96"/>
      <c r="F61" s="111"/>
      <c r="G61" s="111"/>
    </row>
    <row r="62" spans="1:7" x14ac:dyDescent="0.2">
      <c r="A62" s="96"/>
      <c r="B62" s="96"/>
      <c r="C62" s="96"/>
      <c r="D62" s="96"/>
      <c r="E62" s="96"/>
      <c r="F62" s="111"/>
      <c r="G62" s="111"/>
    </row>
    <row r="63" spans="1:7" x14ac:dyDescent="0.2">
      <c r="A63" s="96"/>
      <c r="B63" s="96"/>
      <c r="C63" s="96"/>
      <c r="D63" s="96"/>
      <c r="E63" s="96"/>
      <c r="F63" s="111"/>
      <c r="G63" s="111"/>
    </row>
    <row r="64" spans="1:7" x14ac:dyDescent="0.2">
      <c r="A64" s="96"/>
      <c r="B64" s="96"/>
      <c r="C64" s="96"/>
      <c r="D64" s="96"/>
      <c r="E64" s="96"/>
      <c r="F64" s="111"/>
      <c r="G64" s="111"/>
    </row>
    <row r="65" spans="1:9" ht="18" x14ac:dyDescent="0.25">
      <c r="A65" s="516" t="s">
        <v>221</v>
      </c>
      <c r="B65" s="516"/>
      <c r="C65" s="516"/>
      <c r="D65" s="516"/>
      <c r="E65" s="516"/>
      <c r="F65" s="516"/>
      <c r="G65" s="516"/>
    </row>
    <row r="66" spans="1:9" x14ac:dyDescent="0.2">
      <c r="A66" s="96"/>
      <c r="B66" s="96"/>
      <c r="C66" s="96"/>
      <c r="D66" s="96"/>
      <c r="E66" s="96"/>
      <c r="F66" s="96"/>
      <c r="G66" s="96"/>
    </row>
    <row r="67" spans="1:9" x14ac:dyDescent="0.2">
      <c r="A67" s="96" t="s">
        <v>152</v>
      </c>
      <c r="B67" s="96"/>
      <c r="C67" s="96" t="str">
        <f>C4</f>
        <v>: PERMANENT SCHOOL</v>
      </c>
      <c r="D67" s="96"/>
      <c r="E67" s="96"/>
      <c r="F67" s="96"/>
      <c r="G67" s="96"/>
    </row>
    <row r="68" spans="1:9" x14ac:dyDescent="0.2">
      <c r="A68" s="96" t="s">
        <v>282</v>
      </c>
      <c r="B68" s="96"/>
      <c r="C68" s="96" t="str">
        <f>C5</f>
        <v>: OUTER ISLAND - INDONESIA</v>
      </c>
      <c r="D68" s="96"/>
      <c r="E68" s="96"/>
      <c r="F68" s="96"/>
      <c r="G68" s="96"/>
    </row>
    <row r="69" spans="1:9" x14ac:dyDescent="0.2">
      <c r="A69" s="138"/>
      <c r="B69" s="139"/>
      <c r="C69" s="139"/>
      <c r="D69" s="139"/>
      <c r="E69" s="139"/>
      <c r="F69" s="139"/>
      <c r="G69" s="139"/>
    </row>
    <row r="70" spans="1:9" x14ac:dyDescent="0.2">
      <c r="A70" s="510" t="s">
        <v>0</v>
      </c>
      <c r="B70" s="510" t="s">
        <v>152</v>
      </c>
      <c r="C70" s="517"/>
      <c r="D70" s="510" t="s">
        <v>1</v>
      </c>
      <c r="E70" s="517"/>
      <c r="F70" s="140" t="s">
        <v>208</v>
      </c>
      <c r="G70" s="140" t="s">
        <v>181</v>
      </c>
      <c r="H70" s="140" t="s">
        <v>208</v>
      </c>
      <c r="I70" s="140" t="s">
        <v>181</v>
      </c>
    </row>
    <row r="71" spans="1:9" ht="15.75" thickBot="1" x14ac:dyDescent="0.25">
      <c r="A71" s="512"/>
      <c r="B71" s="512"/>
      <c r="C71" s="518"/>
      <c r="D71" s="512"/>
      <c r="E71" s="518"/>
      <c r="F71" s="141" t="s">
        <v>2</v>
      </c>
      <c r="G71" s="141" t="s">
        <v>2</v>
      </c>
      <c r="H71" s="141" t="s">
        <v>522</v>
      </c>
      <c r="I71" s="141" t="s">
        <v>522</v>
      </c>
    </row>
    <row r="72" spans="1:9" ht="15" customHeight="1" thickTop="1" x14ac:dyDescent="0.2">
      <c r="A72" s="142" t="s">
        <v>3</v>
      </c>
      <c r="B72" s="143" t="s">
        <v>207</v>
      </c>
      <c r="C72" s="144"/>
      <c r="D72" s="145"/>
      <c r="E72" s="146"/>
      <c r="F72" s="147"/>
      <c r="G72" s="147"/>
      <c r="H72" s="147"/>
      <c r="I72" s="147"/>
    </row>
    <row r="73" spans="1:9" ht="15" customHeight="1" x14ac:dyDescent="0.2">
      <c r="A73" s="148">
        <v>1</v>
      </c>
      <c r="B73" s="1" t="s">
        <v>209</v>
      </c>
      <c r="C73" s="149"/>
      <c r="D73" s="150">
        <v>1</v>
      </c>
      <c r="E73" s="151" t="s">
        <v>33</v>
      </c>
      <c r="F73" s="152">
        <v>3850000</v>
      </c>
      <c r="G73" s="152">
        <f>F73*D73</f>
        <v>3850000</v>
      </c>
      <c r="H73" s="420">
        <f>F73/13500</f>
        <v>285.18518518518516</v>
      </c>
      <c r="I73" s="420">
        <f>H73*D73</f>
        <v>285.18518518518516</v>
      </c>
    </row>
    <row r="74" spans="1:9" ht="15" customHeight="1" x14ac:dyDescent="0.2">
      <c r="A74" s="148">
        <f>+A73+1</f>
        <v>2</v>
      </c>
      <c r="B74" s="1" t="s">
        <v>210</v>
      </c>
      <c r="C74" s="149"/>
      <c r="D74" s="150">
        <v>1</v>
      </c>
      <c r="E74" s="151" t="s">
        <v>33</v>
      </c>
      <c r="F74" s="152">
        <v>55770000</v>
      </c>
      <c r="G74" s="152">
        <f>F74*D74</f>
        <v>55770000</v>
      </c>
      <c r="H74" s="420">
        <f t="shared" ref="H74:H137" si="1">F74/13500</f>
        <v>4131.1111111111113</v>
      </c>
      <c r="I74" s="420">
        <f t="shared" ref="I74:I137" si="2">H74*D74</f>
        <v>4131.1111111111113</v>
      </c>
    </row>
    <row r="75" spans="1:9" ht="15" customHeight="1" x14ac:dyDescent="0.2">
      <c r="A75" s="148">
        <f>+A74+1</f>
        <v>3</v>
      </c>
      <c r="B75" s="1" t="s">
        <v>211</v>
      </c>
      <c r="C75" s="149"/>
      <c r="D75" s="150">
        <v>1</v>
      </c>
      <c r="E75" s="151" t="s">
        <v>33</v>
      </c>
      <c r="F75" s="152">
        <v>4950000</v>
      </c>
      <c r="G75" s="152">
        <f>F75*D75</f>
        <v>4950000</v>
      </c>
      <c r="H75" s="420">
        <f t="shared" si="1"/>
        <v>366.66666666666669</v>
      </c>
      <c r="I75" s="420">
        <f t="shared" si="2"/>
        <v>366.66666666666669</v>
      </c>
    </row>
    <row r="76" spans="1:9" ht="15" customHeight="1" x14ac:dyDescent="0.2">
      <c r="A76" s="148">
        <f>+A75+1</f>
        <v>4</v>
      </c>
      <c r="B76" s="1" t="s">
        <v>212</v>
      </c>
      <c r="C76" s="149"/>
      <c r="D76" s="150">
        <f>24+24+9+9</f>
        <v>66</v>
      </c>
      <c r="E76" s="151" t="s">
        <v>37</v>
      </c>
      <c r="F76" s="152">
        <v>110537.9</v>
      </c>
      <c r="G76" s="152">
        <f>F76*D76</f>
        <v>7295501.3999999994</v>
      </c>
      <c r="H76" s="420">
        <f t="shared" si="1"/>
        <v>8.1879925925925914</v>
      </c>
      <c r="I76" s="420">
        <f t="shared" si="2"/>
        <v>540.40751111111103</v>
      </c>
    </row>
    <row r="77" spans="1:9" s="201" customFormat="1" ht="15.75" hidden="1" customHeight="1" x14ac:dyDescent="0.2">
      <c r="A77" s="195"/>
      <c r="B77" s="196" t="s">
        <v>117</v>
      </c>
      <c r="C77" s="197"/>
      <c r="D77" s="198">
        <f>24+24+24+36</f>
        <v>108</v>
      </c>
      <c r="E77" s="199"/>
      <c r="F77" s="200">
        <v>0</v>
      </c>
      <c r="G77" s="200"/>
      <c r="H77" s="420">
        <f t="shared" si="1"/>
        <v>0</v>
      </c>
      <c r="I77" s="420">
        <f t="shared" si="2"/>
        <v>0</v>
      </c>
    </row>
    <row r="78" spans="1:9" s="201" customFormat="1" ht="15.75" customHeight="1" x14ac:dyDescent="0.2">
      <c r="A78" s="202"/>
      <c r="B78" s="203" t="s">
        <v>115</v>
      </c>
      <c r="C78" s="204"/>
      <c r="D78" s="205">
        <f>9*24</f>
        <v>216</v>
      </c>
      <c r="E78" s="206"/>
      <c r="F78" s="207"/>
      <c r="G78" s="207"/>
      <c r="H78" s="421"/>
      <c r="I78" s="421"/>
    </row>
    <row r="79" spans="1:9" x14ac:dyDescent="0.2">
      <c r="A79" s="153"/>
      <c r="B79" s="154"/>
      <c r="C79" s="157" t="s">
        <v>213</v>
      </c>
      <c r="D79" s="155"/>
      <c r="E79" s="156"/>
      <c r="F79" s="459"/>
      <c r="G79" s="158">
        <f>SUM(G73:G78)</f>
        <v>71865501.400000006</v>
      </c>
      <c r="H79" s="460"/>
      <c r="I79" s="422">
        <f>SUM(I73:I76)</f>
        <v>5323.3704740740741</v>
      </c>
    </row>
    <row r="80" spans="1:9" ht="15" customHeight="1" x14ac:dyDescent="0.2">
      <c r="A80" s="142" t="s">
        <v>4</v>
      </c>
      <c r="B80" s="143" t="s">
        <v>183</v>
      </c>
      <c r="C80" s="159"/>
      <c r="D80" s="145"/>
      <c r="E80" s="146"/>
      <c r="F80" s="147"/>
      <c r="G80" s="147"/>
      <c r="H80" s="419"/>
      <c r="I80" s="419"/>
    </row>
    <row r="81" spans="1:9" ht="15" customHeight="1" x14ac:dyDescent="0.2">
      <c r="A81" s="160">
        <v>1</v>
      </c>
      <c r="B81" s="1" t="s">
        <v>214</v>
      </c>
      <c r="C81" s="149"/>
      <c r="D81" s="150">
        <f>0.9*0.7*D77</f>
        <v>68.040000000000006</v>
      </c>
      <c r="E81" s="151" t="s">
        <v>16</v>
      </c>
      <c r="F81" s="161">
        <v>56060.4</v>
      </c>
      <c r="G81" s="152">
        <f>F81*D81</f>
        <v>3814349.6160000004</v>
      </c>
      <c r="H81" s="420">
        <f t="shared" si="1"/>
        <v>4.152622222222222</v>
      </c>
      <c r="I81" s="420">
        <f t="shared" si="2"/>
        <v>282.54441600000001</v>
      </c>
    </row>
    <row r="82" spans="1:9" ht="15" customHeight="1" x14ac:dyDescent="0.2">
      <c r="A82" s="160">
        <f>A81+1</f>
        <v>2</v>
      </c>
      <c r="B82" s="1" t="s">
        <v>51</v>
      </c>
      <c r="C82" s="149"/>
      <c r="D82" s="162">
        <f>0.3*0.9*D77</f>
        <v>29.160000000000004</v>
      </c>
      <c r="E82" s="151" t="s">
        <v>16</v>
      </c>
      <c r="F82" s="152">
        <v>159364.70000000001</v>
      </c>
      <c r="G82" s="152">
        <f>F82*D82</f>
        <v>4647074.6520000007</v>
      </c>
      <c r="H82" s="420">
        <f t="shared" si="1"/>
        <v>11.804792592592593</v>
      </c>
      <c r="I82" s="420">
        <f t="shared" si="2"/>
        <v>344.22775200000007</v>
      </c>
    </row>
    <row r="83" spans="1:9" ht="15" customHeight="1" x14ac:dyDescent="0.2">
      <c r="A83" s="160">
        <f>A82+1</f>
        <v>3</v>
      </c>
      <c r="B83" s="1" t="s">
        <v>52</v>
      </c>
      <c r="C83" s="149"/>
      <c r="D83" s="150">
        <f>(1/3*D81)</f>
        <v>22.68</v>
      </c>
      <c r="E83" s="151" t="s">
        <v>16</v>
      </c>
      <c r="F83" s="152">
        <v>26869.7</v>
      </c>
      <c r="G83" s="152">
        <f>F83*D83</f>
        <v>609404.79599999997</v>
      </c>
      <c r="H83" s="420">
        <f t="shared" si="1"/>
        <v>1.9903481481481482</v>
      </c>
      <c r="I83" s="420">
        <f t="shared" si="2"/>
        <v>45.141095999999997</v>
      </c>
    </row>
    <row r="84" spans="1:9" ht="15" customHeight="1" x14ac:dyDescent="0.2">
      <c r="A84" s="160">
        <f>A83+1</f>
        <v>4</v>
      </c>
      <c r="B84" s="1" t="s">
        <v>118</v>
      </c>
      <c r="C84" s="149"/>
      <c r="D84" s="150">
        <f>0.3*D78</f>
        <v>64.8</v>
      </c>
      <c r="E84" s="151" t="s">
        <v>16</v>
      </c>
      <c r="F84" s="152">
        <v>173757.1</v>
      </c>
      <c r="G84" s="152">
        <f>F84*D84</f>
        <v>11259460.08</v>
      </c>
      <c r="H84" s="420">
        <f t="shared" si="1"/>
        <v>12.870896296296296</v>
      </c>
      <c r="I84" s="420">
        <f t="shared" si="2"/>
        <v>834.0340799999999</v>
      </c>
    </row>
    <row r="85" spans="1:9" ht="15" customHeight="1" x14ac:dyDescent="0.2">
      <c r="A85" s="160">
        <f>A84+1</f>
        <v>5</v>
      </c>
      <c r="B85" s="1" t="s">
        <v>53</v>
      </c>
      <c r="C85" s="149"/>
      <c r="D85" s="150">
        <f>0.1*D78</f>
        <v>21.6</v>
      </c>
      <c r="E85" s="151" t="s">
        <v>16</v>
      </c>
      <c r="F85" s="152">
        <v>159364.70000000001</v>
      </c>
      <c r="G85" s="152">
        <f>F85*D85</f>
        <v>3442277.5200000005</v>
      </c>
      <c r="H85" s="420">
        <f t="shared" si="1"/>
        <v>11.804792592592593</v>
      </c>
      <c r="I85" s="420">
        <f t="shared" si="2"/>
        <v>254.98352000000003</v>
      </c>
    </row>
    <row r="86" spans="1:9" ht="15" customHeight="1" x14ac:dyDescent="0.2">
      <c r="A86" s="163"/>
      <c r="B86" s="119"/>
      <c r="C86" s="164"/>
      <c r="D86" s="165"/>
      <c r="E86" s="166"/>
      <c r="F86" s="167"/>
      <c r="G86" s="167"/>
      <c r="H86" s="421"/>
      <c r="I86" s="421"/>
    </row>
    <row r="87" spans="1:9" x14ac:dyDescent="0.2">
      <c r="A87" s="153"/>
      <c r="B87" s="154"/>
      <c r="C87" s="157" t="s">
        <v>220</v>
      </c>
      <c r="D87" s="155"/>
      <c r="E87" s="156"/>
      <c r="F87" s="459"/>
      <c r="G87" s="158">
        <f>SUM(G81:G86)</f>
        <v>23772566.664000001</v>
      </c>
      <c r="H87" s="460"/>
      <c r="I87" s="422">
        <f>SUM(I81:I85)</f>
        <v>1760.9308639999999</v>
      </c>
    </row>
    <row r="88" spans="1:9" ht="15" customHeight="1" x14ac:dyDescent="0.2">
      <c r="A88" s="142" t="s">
        <v>5</v>
      </c>
      <c r="B88" s="143" t="s">
        <v>490</v>
      </c>
      <c r="C88" s="144"/>
      <c r="D88" s="145"/>
      <c r="E88" s="146"/>
      <c r="F88" s="147"/>
      <c r="G88" s="147"/>
      <c r="H88" s="419"/>
      <c r="I88" s="419"/>
    </row>
    <row r="89" spans="1:9" ht="15" customHeight="1" x14ac:dyDescent="0.2">
      <c r="A89" s="160">
        <v>1</v>
      </c>
      <c r="B89" s="376" t="s">
        <v>215</v>
      </c>
      <c r="C89" s="149"/>
      <c r="D89" s="150">
        <f>(0.3+0.7)/2*0.85*D77</f>
        <v>45.9</v>
      </c>
      <c r="E89" s="151" t="s">
        <v>16</v>
      </c>
      <c r="F89" s="152">
        <v>881669.8</v>
      </c>
      <c r="G89" s="152">
        <f>F89*D89</f>
        <v>40468643.82</v>
      </c>
      <c r="H89" s="420">
        <f t="shared" si="1"/>
        <v>65.308874074074083</v>
      </c>
      <c r="I89" s="420">
        <f t="shared" si="2"/>
        <v>2997.6773200000002</v>
      </c>
    </row>
    <row r="90" spans="1:9" ht="15" customHeight="1" x14ac:dyDescent="0.2">
      <c r="A90" s="160">
        <f>+A89+1</f>
        <v>2</v>
      </c>
      <c r="B90" s="375" t="s">
        <v>216</v>
      </c>
      <c r="C90" s="149"/>
      <c r="D90" s="162">
        <f>(62*3.5)+(37.69*2)</f>
        <v>292.38</v>
      </c>
      <c r="E90" s="151" t="s">
        <v>23</v>
      </c>
      <c r="F90" s="152">
        <v>178748.9</v>
      </c>
      <c r="G90" s="152">
        <f>F90*D90</f>
        <v>52262603.381999999</v>
      </c>
      <c r="H90" s="420">
        <f t="shared" si="1"/>
        <v>13.240659259259258</v>
      </c>
      <c r="I90" s="420">
        <f t="shared" si="2"/>
        <v>3871.3039542222218</v>
      </c>
    </row>
    <row r="91" spans="1:9" ht="15" customHeight="1" x14ac:dyDescent="0.2">
      <c r="A91" s="160">
        <f>+A90+1</f>
        <v>3</v>
      </c>
      <c r="B91" s="375" t="s">
        <v>217</v>
      </c>
      <c r="C91" s="149"/>
      <c r="D91" s="150">
        <f>(D90*2)+(0.7*3.5*34)</f>
        <v>668.06</v>
      </c>
      <c r="E91" s="151" t="s">
        <v>23</v>
      </c>
      <c r="F91" s="152">
        <v>69743.3</v>
      </c>
      <c r="G91" s="152">
        <f>F91*D91</f>
        <v>46592708.997999996</v>
      </c>
      <c r="H91" s="420">
        <f t="shared" si="1"/>
        <v>5.166170370370371</v>
      </c>
      <c r="I91" s="420">
        <f t="shared" si="2"/>
        <v>3451.3117776296299</v>
      </c>
    </row>
    <row r="92" spans="1:9" ht="15" customHeight="1" x14ac:dyDescent="0.2">
      <c r="A92" s="160">
        <f>+A91+1</f>
        <v>4</v>
      </c>
      <c r="B92" s="514" t="s">
        <v>218</v>
      </c>
      <c r="C92" s="515"/>
      <c r="D92" s="150">
        <f>(7.5*15*2)+(3.5*4*34)+(8*2*3)</f>
        <v>749</v>
      </c>
      <c r="E92" s="151" t="s">
        <v>37</v>
      </c>
      <c r="F92" s="152">
        <v>21741.5</v>
      </c>
      <c r="G92" s="152">
        <f>F92*D92</f>
        <v>16284383.5</v>
      </c>
      <c r="H92" s="420">
        <f t="shared" si="1"/>
        <v>1.6104814814814814</v>
      </c>
      <c r="I92" s="420">
        <f t="shared" si="2"/>
        <v>1206.2506296296297</v>
      </c>
    </row>
    <row r="93" spans="1:9" ht="15" customHeight="1" x14ac:dyDescent="0.2">
      <c r="A93" s="160">
        <f>+A92+1</f>
        <v>5</v>
      </c>
      <c r="B93" s="119" t="s">
        <v>219</v>
      </c>
      <c r="C93" s="164"/>
      <c r="D93" s="165">
        <f>0.05*D78</f>
        <v>10.8</v>
      </c>
      <c r="E93" s="166" t="s">
        <v>16</v>
      </c>
      <c r="F93" s="167">
        <v>1186535.8999999999</v>
      </c>
      <c r="G93" s="152">
        <f>F93*D93</f>
        <v>12814587.720000001</v>
      </c>
      <c r="H93" s="420">
        <f t="shared" si="1"/>
        <v>87.891548148148146</v>
      </c>
      <c r="I93" s="420">
        <f t="shared" si="2"/>
        <v>949.22872000000007</v>
      </c>
    </row>
    <row r="94" spans="1:9" ht="15" customHeight="1" x14ac:dyDescent="0.2">
      <c r="A94" s="163"/>
      <c r="B94" s="119"/>
      <c r="C94" s="164"/>
      <c r="D94" s="165"/>
      <c r="E94" s="166"/>
      <c r="F94" s="167"/>
      <c r="G94" s="167"/>
      <c r="H94" s="421"/>
      <c r="I94" s="421"/>
    </row>
    <row r="95" spans="1:9" x14ac:dyDescent="0.2">
      <c r="A95" s="153"/>
      <c r="B95" s="154"/>
      <c r="C95" s="157" t="s">
        <v>222</v>
      </c>
      <c r="D95" s="155"/>
      <c r="E95" s="156"/>
      <c r="F95" s="459"/>
      <c r="G95" s="158">
        <f>SUM(G89:G94)</f>
        <v>168422927.41999999</v>
      </c>
      <c r="H95" s="460"/>
      <c r="I95" s="422">
        <f>SUM(I89:I93)</f>
        <v>12475.772401481481</v>
      </c>
    </row>
    <row r="96" spans="1:9" ht="15" customHeight="1" x14ac:dyDescent="0.2">
      <c r="A96" s="142" t="s">
        <v>6</v>
      </c>
      <c r="B96" s="143" t="s">
        <v>487</v>
      </c>
      <c r="C96" s="144"/>
      <c r="D96" s="145"/>
      <c r="E96" s="146"/>
      <c r="F96" s="147"/>
      <c r="G96" s="147"/>
      <c r="H96" s="419"/>
      <c r="I96" s="419"/>
    </row>
    <row r="97" spans="1:9" ht="15" customHeight="1" x14ac:dyDescent="0.2">
      <c r="A97" s="148">
        <v>1</v>
      </c>
      <c r="B97" s="375" t="s">
        <v>231</v>
      </c>
      <c r="C97" s="149"/>
      <c r="D97" s="150">
        <f>0.15*0.2*108</f>
        <v>3.2399999999999998</v>
      </c>
      <c r="E97" s="151" t="s">
        <v>16</v>
      </c>
      <c r="F97" s="152">
        <v>6912113.5335999997</v>
      </c>
      <c r="G97" s="152">
        <f>F97*D97</f>
        <v>22395247.848863997</v>
      </c>
      <c r="H97" s="420">
        <f t="shared" si="1"/>
        <v>512.00840989629626</v>
      </c>
      <c r="I97" s="420">
        <f t="shared" si="2"/>
        <v>1658.9072480639998</v>
      </c>
    </row>
    <row r="98" spans="1:9" ht="15" customHeight="1" x14ac:dyDescent="0.2">
      <c r="A98" s="148">
        <v>2</v>
      </c>
      <c r="B98" s="1" t="s">
        <v>232</v>
      </c>
      <c r="C98" s="149"/>
      <c r="D98" s="150">
        <f>0.15*0.2*3.5*34</f>
        <v>3.57</v>
      </c>
      <c r="E98" s="151" t="s">
        <v>16</v>
      </c>
      <c r="F98" s="152">
        <v>8779844.2599999998</v>
      </c>
      <c r="G98" s="152">
        <f>F98*D98</f>
        <v>31344044.008199997</v>
      </c>
      <c r="H98" s="420">
        <f t="shared" si="1"/>
        <v>650.35883407407403</v>
      </c>
      <c r="I98" s="420">
        <f t="shared" si="2"/>
        <v>2321.781037644444</v>
      </c>
    </row>
    <row r="99" spans="1:9" ht="15" customHeight="1" x14ac:dyDescent="0.2">
      <c r="A99" s="148">
        <f>A98+1</f>
        <v>3</v>
      </c>
      <c r="B99" s="1" t="s">
        <v>233</v>
      </c>
      <c r="C99" s="149"/>
      <c r="D99" s="150">
        <f>0.15*0.15*76</f>
        <v>1.71</v>
      </c>
      <c r="E99" s="151" t="s">
        <v>16</v>
      </c>
      <c r="F99" s="152">
        <v>7988732.8664000006</v>
      </c>
      <c r="G99" s="152">
        <f>F99*D99</f>
        <v>13660733.201544002</v>
      </c>
      <c r="H99" s="420">
        <f t="shared" si="1"/>
        <v>591.75799010370372</v>
      </c>
      <c r="I99" s="420">
        <f t="shared" si="2"/>
        <v>1011.9061630773333</v>
      </c>
    </row>
    <row r="100" spans="1:9" ht="15" customHeight="1" x14ac:dyDescent="0.2">
      <c r="A100" s="148">
        <f>A99+1</f>
        <v>4</v>
      </c>
      <c r="B100" s="1" t="s">
        <v>234</v>
      </c>
      <c r="C100" s="149"/>
      <c r="D100" s="150">
        <f>0.15*0.2*108</f>
        <v>3.2399999999999998</v>
      </c>
      <c r="E100" s="151" t="s">
        <v>16</v>
      </c>
      <c r="F100" s="152">
        <v>7863668.3664000006</v>
      </c>
      <c r="G100" s="152">
        <f>F100*D100</f>
        <v>25478285.507135998</v>
      </c>
      <c r="H100" s="420">
        <f t="shared" si="1"/>
        <v>582.49395306666668</v>
      </c>
      <c r="I100" s="420">
        <f t="shared" si="2"/>
        <v>1887.2804079359998</v>
      </c>
    </row>
    <row r="101" spans="1:9" ht="15" customHeight="1" x14ac:dyDescent="0.2">
      <c r="A101" s="148">
        <f>A100+1</f>
        <v>5</v>
      </c>
      <c r="B101" s="1" t="s">
        <v>235</v>
      </c>
      <c r="C101" s="149"/>
      <c r="D101" s="150">
        <f>0.15*0.2*13.43*2</f>
        <v>0.80579999999999996</v>
      </c>
      <c r="E101" s="151" t="s">
        <v>16</v>
      </c>
      <c r="F101" s="152">
        <v>7863668.3664000006</v>
      </c>
      <c r="G101" s="152">
        <f>F101*D101</f>
        <v>6336543.9696451202</v>
      </c>
      <c r="H101" s="420">
        <f t="shared" si="1"/>
        <v>582.49395306666668</v>
      </c>
      <c r="I101" s="420">
        <f t="shared" si="2"/>
        <v>469.37362738112</v>
      </c>
    </row>
    <row r="102" spans="1:9" ht="15" customHeight="1" x14ac:dyDescent="0.2">
      <c r="A102" s="163"/>
      <c r="B102" s="119"/>
      <c r="C102" s="164"/>
      <c r="D102" s="165"/>
      <c r="E102" s="166"/>
      <c r="F102" s="167"/>
      <c r="G102" s="167"/>
      <c r="H102" s="421"/>
      <c r="I102" s="421"/>
    </row>
    <row r="103" spans="1:9" x14ac:dyDescent="0.2">
      <c r="A103" s="153"/>
      <c r="B103" s="154"/>
      <c r="C103" s="157" t="s">
        <v>236</v>
      </c>
      <c r="D103" s="155"/>
      <c r="E103" s="156"/>
      <c r="F103" s="459"/>
      <c r="G103" s="158">
        <f>SUM(G97:G102)</f>
        <v>99214854.535389125</v>
      </c>
      <c r="H103" s="460"/>
      <c r="I103" s="422">
        <f>SUM(I97:I101)</f>
        <v>7349.2484841028972</v>
      </c>
    </row>
    <row r="104" spans="1:9" ht="15" customHeight="1" x14ac:dyDescent="0.2">
      <c r="A104" s="169" t="s">
        <v>38</v>
      </c>
      <c r="B104" s="170" t="s">
        <v>186</v>
      </c>
      <c r="C104" s="171"/>
      <c r="D104" s="150"/>
      <c r="E104" s="151"/>
      <c r="F104" s="147"/>
      <c r="G104" s="147"/>
      <c r="H104" s="419"/>
      <c r="I104" s="419"/>
    </row>
    <row r="105" spans="1:9" s="178" customFormat="1" ht="15" customHeight="1" x14ac:dyDescent="0.2">
      <c r="A105" s="172">
        <v>1</v>
      </c>
      <c r="B105" s="173" t="s">
        <v>293</v>
      </c>
      <c r="C105" s="174"/>
      <c r="D105" s="175">
        <f>24*9</f>
        <v>216</v>
      </c>
      <c r="E105" s="176" t="s">
        <v>23</v>
      </c>
      <c r="F105" s="177">
        <v>244132.9</v>
      </c>
      <c r="G105" s="152">
        <f>F105*D105</f>
        <v>52732706.399999999</v>
      </c>
      <c r="H105" s="420">
        <f t="shared" si="1"/>
        <v>18.083918518518519</v>
      </c>
      <c r="I105" s="420">
        <f t="shared" si="2"/>
        <v>3906.1264000000001</v>
      </c>
    </row>
    <row r="106" spans="1:9" s="178" customFormat="1" ht="15" customHeight="1" x14ac:dyDescent="0.2">
      <c r="A106" s="172">
        <f>A105+1</f>
        <v>2</v>
      </c>
      <c r="B106" s="173" t="s">
        <v>288</v>
      </c>
      <c r="C106" s="174"/>
      <c r="D106" s="175">
        <f>24+24+24+42</f>
        <v>114</v>
      </c>
      <c r="E106" s="176" t="s">
        <v>50</v>
      </c>
      <c r="F106" s="177">
        <v>99632.5</v>
      </c>
      <c r="G106" s="152">
        <f>F106*D106</f>
        <v>11358105</v>
      </c>
      <c r="H106" s="420">
        <f t="shared" si="1"/>
        <v>7.3801851851851854</v>
      </c>
      <c r="I106" s="420">
        <f t="shared" si="2"/>
        <v>841.3411111111111</v>
      </c>
    </row>
    <row r="107" spans="1:9" ht="15" customHeight="1" x14ac:dyDescent="0.2">
      <c r="A107" s="163"/>
      <c r="B107" s="119"/>
      <c r="C107" s="164"/>
      <c r="D107" s="165"/>
      <c r="E107" s="166"/>
      <c r="F107" s="167"/>
      <c r="G107" s="167"/>
      <c r="H107" s="421"/>
      <c r="I107" s="421"/>
    </row>
    <row r="108" spans="1:9" x14ac:dyDescent="0.2">
      <c r="A108" s="153"/>
      <c r="B108" s="154"/>
      <c r="C108" s="157" t="s">
        <v>248</v>
      </c>
      <c r="D108" s="155"/>
      <c r="E108" s="156"/>
      <c r="F108" s="459"/>
      <c r="G108" s="158">
        <f>SUM(G105:G107)</f>
        <v>64090811.399999999</v>
      </c>
      <c r="H108" s="460"/>
      <c r="I108" s="422">
        <f>SUM(I105:I106)</f>
        <v>4747.467511111111</v>
      </c>
    </row>
    <row r="109" spans="1:9" x14ac:dyDescent="0.2">
      <c r="A109" s="142" t="s">
        <v>39</v>
      </c>
      <c r="B109" s="143" t="s">
        <v>254</v>
      </c>
      <c r="C109" s="144"/>
      <c r="D109" s="145"/>
      <c r="E109" s="146"/>
      <c r="F109" s="147"/>
      <c r="G109" s="147"/>
      <c r="H109" s="419"/>
      <c r="I109" s="419"/>
    </row>
    <row r="110" spans="1:9" x14ac:dyDescent="0.2">
      <c r="A110" s="148">
        <v>1</v>
      </c>
      <c r="B110" s="1" t="s">
        <v>137</v>
      </c>
      <c r="C110" s="149"/>
      <c r="D110" s="150">
        <f>(9*24)+(24+24)+(6+6+6+6)</f>
        <v>288</v>
      </c>
      <c r="E110" s="151" t="s">
        <v>23</v>
      </c>
      <c r="F110" s="152">
        <v>223704.8</v>
      </c>
      <c r="G110" s="152">
        <f>F110*D110</f>
        <v>64426982.399999999</v>
      </c>
      <c r="H110" s="420">
        <f t="shared" si="1"/>
        <v>16.570725925925924</v>
      </c>
      <c r="I110" s="420">
        <f t="shared" si="2"/>
        <v>4772.3690666666662</v>
      </c>
    </row>
    <row r="111" spans="1:9" x14ac:dyDescent="0.2">
      <c r="A111" s="163"/>
      <c r="B111" s="119"/>
      <c r="C111" s="164"/>
      <c r="D111" s="165"/>
      <c r="E111" s="166"/>
      <c r="F111" s="167"/>
      <c r="G111" s="167"/>
      <c r="H111" s="421"/>
      <c r="I111" s="421"/>
    </row>
    <row r="112" spans="1:9" x14ac:dyDescent="0.2">
      <c r="A112" s="153"/>
      <c r="B112" s="154"/>
      <c r="C112" s="157" t="s">
        <v>256</v>
      </c>
      <c r="D112" s="155"/>
      <c r="E112" s="156"/>
      <c r="F112" s="459"/>
      <c r="G112" s="158">
        <f>SUM(G110:G111)</f>
        <v>64426982.399999999</v>
      </c>
      <c r="H112" s="460"/>
      <c r="I112" s="422">
        <f>I110</f>
        <v>4772.3690666666662</v>
      </c>
    </row>
    <row r="113" spans="1:9" x14ac:dyDescent="0.2">
      <c r="A113" s="142" t="s">
        <v>7</v>
      </c>
      <c r="B113" s="143" t="s">
        <v>255</v>
      </c>
      <c r="C113" s="144"/>
      <c r="D113" s="145"/>
      <c r="E113" s="146"/>
      <c r="F113" s="147"/>
      <c r="G113" s="147"/>
      <c r="H113" s="419"/>
      <c r="I113" s="419"/>
    </row>
    <row r="114" spans="1:9" x14ac:dyDescent="0.2">
      <c r="A114" s="148">
        <v>1</v>
      </c>
      <c r="B114" s="1" t="s">
        <v>243</v>
      </c>
      <c r="C114" s="171"/>
      <c r="D114" s="150"/>
      <c r="E114" s="151"/>
      <c r="F114" s="179">
        <v>0</v>
      </c>
      <c r="G114" s="152"/>
      <c r="H114" s="420"/>
      <c r="I114" s="420"/>
    </row>
    <row r="115" spans="1:9" x14ac:dyDescent="0.2">
      <c r="A115" s="148"/>
      <c r="B115" s="1" t="s">
        <v>126</v>
      </c>
      <c r="C115" s="171"/>
      <c r="D115" s="150">
        <f>((8.9*0.12*0.06)+(1.4*3*0.12*0.02))*3</f>
        <v>0.22248000000000001</v>
      </c>
      <c r="E115" s="151" t="s">
        <v>16</v>
      </c>
      <c r="F115" s="152">
        <v>10132314.5</v>
      </c>
      <c r="G115" s="152">
        <f>F115*D115</f>
        <v>2254237.3299600002</v>
      </c>
      <c r="H115" s="420">
        <f t="shared" si="1"/>
        <v>750.54181481481487</v>
      </c>
      <c r="I115" s="420">
        <f t="shared" si="2"/>
        <v>166.98054296000001</v>
      </c>
    </row>
    <row r="116" spans="1:9" x14ac:dyDescent="0.2">
      <c r="A116" s="148"/>
      <c r="B116" s="1" t="s">
        <v>127</v>
      </c>
      <c r="C116" s="171"/>
      <c r="D116" s="150">
        <f>((13*0.06*0.12)+(1.85*3*0.12*0.02))*5*3</f>
        <v>1.6037999999999999</v>
      </c>
      <c r="E116" s="151" t="str">
        <f>E115</f>
        <v>M3</v>
      </c>
      <c r="F116" s="152">
        <v>10132314.5</v>
      </c>
      <c r="G116" s="152">
        <f t="shared" ref="G116:G126" si="3">F116*D116</f>
        <v>16250205.995099999</v>
      </c>
      <c r="H116" s="420">
        <f t="shared" si="1"/>
        <v>750.54181481481487</v>
      </c>
      <c r="I116" s="420">
        <f t="shared" si="2"/>
        <v>1203.7189625999999</v>
      </c>
    </row>
    <row r="117" spans="1:9" x14ac:dyDescent="0.2">
      <c r="A117" s="148"/>
      <c r="B117" s="180"/>
      <c r="C117" s="171"/>
      <c r="D117" s="150"/>
      <c r="E117" s="151"/>
      <c r="F117" s="152"/>
      <c r="G117" s="152"/>
      <c r="H117" s="420"/>
      <c r="I117" s="420"/>
    </row>
    <row r="118" spans="1:9" x14ac:dyDescent="0.2">
      <c r="A118" s="148">
        <f>+A114+1</f>
        <v>2</v>
      </c>
      <c r="B118" s="415" t="s">
        <v>498</v>
      </c>
      <c r="C118" s="171"/>
      <c r="D118" s="150"/>
      <c r="E118" s="151"/>
      <c r="F118" s="152"/>
      <c r="G118" s="152"/>
      <c r="H118" s="420"/>
      <c r="I118" s="420"/>
    </row>
    <row r="119" spans="1:9" x14ac:dyDescent="0.2">
      <c r="A119" s="148"/>
      <c r="B119" s="415" t="s">
        <v>289</v>
      </c>
      <c r="C119" s="171"/>
      <c r="D119" s="150">
        <f>0.65*2.1*2*3</f>
        <v>8.1900000000000013</v>
      </c>
      <c r="E119" s="151" t="s">
        <v>23</v>
      </c>
      <c r="F119" s="152">
        <v>2087399.6</v>
      </c>
      <c r="G119" s="152">
        <f t="shared" si="3"/>
        <v>17095802.724000003</v>
      </c>
      <c r="H119" s="420">
        <f t="shared" si="1"/>
        <v>154.6221925925926</v>
      </c>
      <c r="I119" s="420">
        <f t="shared" si="2"/>
        <v>1266.3557573333335</v>
      </c>
    </row>
    <row r="120" spans="1:9" x14ac:dyDescent="0.2">
      <c r="A120" s="212"/>
      <c r="B120" s="186" t="s">
        <v>290</v>
      </c>
      <c r="C120" s="213"/>
      <c r="D120" s="165">
        <f>1*0.6*2*5*3</f>
        <v>18</v>
      </c>
      <c r="E120" s="166" t="s">
        <v>23</v>
      </c>
      <c r="F120" s="167">
        <v>1045000</v>
      </c>
      <c r="G120" s="152">
        <f t="shared" si="3"/>
        <v>18810000</v>
      </c>
      <c r="H120" s="420">
        <f t="shared" si="1"/>
        <v>77.407407407407405</v>
      </c>
      <c r="I120" s="420">
        <f t="shared" si="2"/>
        <v>1393.3333333333333</v>
      </c>
    </row>
    <row r="121" spans="1:9" x14ac:dyDescent="0.2">
      <c r="A121" s="212"/>
      <c r="B121" s="186" t="s">
        <v>291</v>
      </c>
      <c r="C121" s="213"/>
      <c r="D121" s="165">
        <f>(0.65*1*5*3)+(0.6*1*2*5*3)</f>
        <v>27.75</v>
      </c>
      <c r="E121" s="166" t="s">
        <v>23</v>
      </c>
      <c r="F121" s="167">
        <v>164626</v>
      </c>
      <c r="G121" s="152">
        <f t="shared" si="3"/>
        <v>4568371.5</v>
      </c>
      <c r="H121" s="420">
        <f t="shared" si="1"/>
        <v>12.194518518518519</v>
      </c>
      <c r="I121" s="420">
        <f t="shared" si="2"/>
        <v>338.39788888888893</v>
      </c>
    </row>
    <row r="122" spans="1:9" x14ac:dyDescent="0.2">
      <c r="A122" s="212"/>
      <c r="B122" s="186" t="s">
        <v>138</v>
      </c>
      <c r="C122" s="213"/>
      <c r="D122" s="165">
        <v>3</v>
      </c>
      <c r="E122" s="166" t="s">
        <v>100</v>
      </c>
      <c r="F122" s="167">
        <v>295869.2</v>
      </c>
      <c r="G122" s="152">
        <f t="shared" si="3"/>
        <v>887607.60000000009</v>
      </c>
      <c r="H122" s="420">
        <f t="shared" si="1"/>
        <v>21.916237037037039</v>
      </c>
      <c r="I122" s="420">
        <f t="shared" si="2"/>
        <v>65.74871111111112</v>
      </c>
    </row>
    <row r="123" spans="1:9" ht="14.25" customHeight="1" x14ac:dyDescent="0.2">
      <c r="A123" s="212"/>
      <c r="B123" s="379" t="s">
        <v>245</v>
      </c>
      <c r="C123" s="213"/>
      <c r="D123" s="165">
        <f>D122*2</f>
        <v>6</v>
      </c>
      <c r="E123" s="166" t="s">
        <v>100</v>
      </c>
      <c r="F123" s="167">
        <v>90792.9</v>
      </c>
      <c r="G123" s="152">
        <f t="shared" si="3"/>
        <v>544757.39999999991</v>
      </c>
      <c r="H123" s="420">
        <f t="shared" si="1"/>
        <v>6.7253999999999996</v>
      </c>
      <c r="I123" s="420">
        <f t="shared" si="2"/>
        <v>40.352399999999996</v>
      </c>
    </row>
    <row r="124" spans="1:9" x14ac:dyDescent="0.2">
      <c r="A124" s="212"/>
      <c r="B124" s="186" t="s">
        <v>246</v>
      </c>
      <c r="C124" s="213"/>
      <c r="D124" s="165">
        <f>5*2*3</f>
        <v>30</v>
      </c>
      <c r="E124" s="166" t="s">
        <v>100</v>
      </c>
      <c r="F124" s="167">
        <v>104660.6</v>
      </c>
      <c r="G124" s="152">
        <f t="shared" si="3"/>
        <v>3139818</v>
      </c>
      <c r="H124" s="420">
        <f t="shared" si="1"/>
        <v>7.7526370370370374</v>
      </c>
      <c r="I124" s="420">
        <f t="shared" si="2"/>
        <v>232.57911111111113</v>
      </c>
    </row>
    <row r="125" spans="1:9" x14ac:dyDescent="0.2">
      <c r="A125" s="212"/>
      <c r="B125" s="186" t="s">
        <v>247</v>
      </c>
      <c r="C125" s="213"/>
      <c r="D125" s="165">
        <f>D124</f>
        <v>30</v>
      </c>
      <c r="E125" s="166" t="s">
        <v>22</v>
      </c>
      <c r="F125" s="167">
        <v>50582.400000000001</v>
      </c>
      <c r="G125" s="152">
        <f t="shared" si="3"/>
        <v>1517472</v>
      </c>
      <c r="H125" s="420">
        <f t="shared" si="1"/>
        <v>3.7468444444444446</v>
      </c>
      <c r="I125" s="420">
        <f t="shared" si="2"/>
        <v>112.40533333333335</v>
      </c>
    </row>
    <row r="126" spans="1:9" x14ac:dyDescent="0.2">
      <c r="A126" s="212"/>
      <c r="B126" s="186" t="s">
        <v>292</v>
      </c>
      <c r="C126" s="213"/>
      <c r="D126" s="165">
        <f>D125*2</f>
        <v>60</v>
      </c>
      <c r="E126" s="166" t="s">
        <v>100</v>
      </c>
      <c r="F126" s="167">
        <v>39882.699999999997</v>
      </c>
      <c r="G126" s="152">
        <f t="shared" si="3"/>
        <v>2392962</v>
      </c>
      <c r="H126" s="420">
        <f t="shared" si="1"/>
        <v>2.9542740740740738</v>
      </c>
      <c r="I126" s="420">
        <f t="shared" si="2"/>
        <v>177.25644444444444</v>
      </c>
    </row>
    <row r="127" spans="1:9" x14ac:dyDescent="0.2">
      <c r="A127" s="163"/>
      <c r="B127" s="119"/>
      <c r="C127" s="164"/>
      <c r="D127" s="165"/>
      <c r="E127" s="166"/>
      <c r="F127" s="167"/>
      <c r="G127" s="167"/>
      <c r="H127" s="421"/>
      <c r="I127" s="421"/>
    </row>
    <row r="128" spans="1:9" x14ac:dyDescent="0.2">
      <c r="A128" s="153"/>
      <c r="B128" s="154"/>
      <c r="C128" s="157" t="s">
        <v>278</v>
      </c>
      <c r="D128" s="155"/>
      <c r="E128" s="156"/>
      <c r="F128" s="459"/>
      <c r="G128" s="158">
        <f>SUM(G115:G126)</f>
        <v>67461234.549060002</v>
      </c>
      <c r="H128" s="460"/>
      <c r="I128" s="422">
        <f>SUM(I115:I126)</f>
        <v>4997.1284851155551</v>
      </c>
    </row>
    <row r="129" spans="1:9" x14ac:dyDescent="0.2">
      <c r="A129" s="142" t="s">
        <v>40</v>
      </c>
      <c r="B129" s="143" t="s">
        <v>189</v>
      </c>
      <c r="C129" s="159"/>
      <c r="D129" s="145"/>
      <c r="E129" s="146"/>
      <c r="F129" s="147"/>
      <c r="G129" s="147"/>
      <c r="H129" s="419"/>
      <c r="I129" s="419"/>
    </row>
    <row r="130" spans="1:9" x14ac:dyDescent="0.2">
      <c r="A130" s="148" t="s">
        <v>31</v>
      </c>
      <c r="B130" s="376" t="s">
        <v>267</v>
      </c>
      <c r="C130" s="149"/>
      <c r="D130" s="150">
        <f>D91</f>
        <v>668.06</v>
      </c>
      <c r="E130" s="151" t="s">
        <v>23</v>
      </c>
      <c r="F130" s="152">
        <v>29327.1</v>
      </c>
      <c r="G130" s="152">
        <f>F130*D130</f>
        <v>19592262.425999999</v>
      </c>
      <c r="H130" s="420">
        <f t="shared" si="1"/>
        <v>2.1723777777777777</v>
      </c>
      <c r="I130" s="420">
        <f t="shared" si="2"/>
        <v>1451.2786982222221</v>
      </c>
    </row>
    <row r="131" spans="1:9" x14ac:dyDescent="0.2">
      <c r="A131" s="148" t="s">
        <v>32</v>
      </c>
      <c r="B131" s="1" t="s">
        <v>268</v>
      </c>
      <c r="C131" s="149"/>
      <c r="D131" s="150">
        <f>D110</f>
        <v>288</v>
      </c>
      <c r="E131" s="151" t="s">
        <v>23</v>
      </c>
      <c r="F131" s="152">
        <v>29327.1</v>
      </c>
      <c r="G131" s="152">
        <f>F131*D131</f>
        <v>8446204.7999999989</v>
      </c>
      <c r="H131" s="420">
        <f t="shared" si="1"/>
        <v>2.1723777777777777</v>
      </c>
      <c r="I131" s="420">
        <f t="shared" si="2"/>
        <v>625.64480000000003</v>
      </c>
    </row>
    <row r="132" spans="1:9" x14ac:dyDescent="0.2">
      <c r="A132" s="148" t="s">
        <v>87</v>
      </c>
      <c r="B132" s="119" t="s">
        <v>269</v>
      </c>
      <c r="C132" s="164"/>
      <c r="D132" s="165">
        <v>90.69</v>
      </c>
      <c r="E132" s="166" t="s">
        <v>23</v>
      </c>
      <c r="F132" s="167">
        <v>65923</v>
      </c>
      <c r="G132" s="152">
        <f>F132*D132</f>
        <v>5978556.8700000001</v>
      </c>
      <c r="H132" s="420">
        <f t="shared" si="1"/>
        <v>4.8831851851851855</v>
      </c>
      <c r="I132" s="420">
        <f t="shared" si="2"/>
        <v>442.85606444444448</v>
      </c>
    </row>
    <row r="133" spans="1:9" x14ac:dyDescent="0.2">
      <c r="A133" s="163"/>
      <c r="B133" s="119"/>
      <c r="C133" s="164"/>
      <c r="D133" s="165"/>
      <c r="E133" s="166"/>
      <c r="F133" s="167"/>
      <c r="G133" s="167"/>
      <c r="H133" s="421"/>
      <c r="I133" s="421"/>
    </row>
    <row r="134" spans="1:9" x14ac:dyDescent="0.2">
      <c r="A134" s="153"/>
      <c r="B134" s="154"/>
      <c r="C134" s="157" t="s">
        <v>279</v>
      </c>
      <c r="D134" s="155"/>
      <c r="E134" s="156"/>
      <c r="F134" s="459"/>
      <c r="G134" s="158">
        <f>SUM(G130:G133)</f>
        <v>34017024.095999993</v>
      </c>
      <c r="H134" s="460"/>
      <c r="I134" s="422">
        <f>SUM(I129:I132)</f>
        <v>2519.7795626666671</v>
      </c>
    </row>
    <row r="135" spans="1:9" ht="15" customHeight="1" x14ac:dyDescent="0.2">
      <c r="A135" s="142" t="s">
        <v>41</v>
      </c>
      <c r="B135" s="143" t="s">
        <v>190</v>
      </c>
      <c r="C135" s="159"/>
      <c r="D135" s="145"/>
      <c r="E135" s="146"/>
      <c r="F135" s="147"/>
      <c r="G135" s="147"/>
      <c r="H135" s="419"/>
      <c r="I135" s="419"/>
    </row>
    <row r="136" spans="1:9" ht="15" customHeight="1" x14ac:dyDescent="0.2">
      <c r="A136" s="148">
        <v>1</v>
      </c>
      <c r="B136" s="411" t="s">
        <v>502</v>
      </c>
      <c r="C136" s="149"/>
      <c r="D136" s="150">
        <v>12</v>
      </c>
      <c r="E136" s="151" t="s">
        <v>100</v>
      </c>
      <c r="F136" s="152">
        <v>82500</v>
      </c>
      <c r="G136" s="152">
        <f t="shared" ref="G136:G141" si="4">F136*D136</f>
        <v>990000</v>
      </c>
      <c r="H136" s="420">
        <f t="shared" si="1"/>
        <v>6.1111111111111107</v>
      </c>
      <c r="I136" s="420">
        <f t="shared" si="2"/>
        <v>73.333333333333329</v>
      </c>
    </row>
    <row r="137" spans="1:9" ht="15" customHeight="1" x14ac:dyDescent="0.2">
      <c r="A137" s="148">
        <v>2</v>
      </c>
      <c r="B137" s="375" t="s">
        <v>270</v>
      </c>
      <c r="C137" s="149"/>
      <c r="D137" s="150">
        <v>4</v>
      </c>
      <c r="E137" s="408" t="s">
        <v>504</v>
      </c>
      <c r="F137" s="152">
        <v>38500</v>
      </c>
      <c r="G137" s="152">
        <f t="shared" si="4"/>
        <v>154000</v>
      </c>
      <c r="H137" s="420">
        <f t="shared" si="1"/>
        <v>2.8518518518518516</v>
      </c>
      <c r="I137" s="420">
        <f t="shared" si="2"/>
        <v>11.407407407407407</v>
      </c>
    </row>
    <row r="138" spans="1:9" ht="15" customHeight="1" x14ac:dyDescent="0.2">
      <c r="A138" s="148">
        <f>A137+1</f>
        <v>3</v>
      </c>
      <c r="B138" s="1" t="s">
        <v>271</v>
      </c>
      <c r="C138" s="149"/>
      <c r="D138" s="150">
        <v>6</v>
      </c>
      <c r="E138" s="408" t="s">
        <v>504</v>
      </c>
      <c r="F138" s="152">
        <v>38500</v>
      </c>
      <c r="G138" s="152">
        <f t="shared" si="4"/>
        <v>231000</v>
      </c>
      <c r="H138" s="420">
        <f t="shared" ref="H138:H148" si="5">F138/13500</f>
        <v>2.8518518518518516</v>
      </c>
      <c r="I138" s="420">
        <f t="shared" ref="I138:I148" si="6">H138*D138</f>
        <v>17.111111111111111</v>
      </c>
    </row>
    <row r="139" spans="1:9" ht="15" customHeight="1" x14ac:dyDescent="0.2">
      <c r="A139" s="148">
        <f>A138+1</f>
        <v>4</v>
      </c>
      <c r="B139" s="376" t="s">
        <v>272</v>
      </c>
      <c r="C139" s="149"/>
      <c r="D139" s="150">
        <f>D138+D137</f>
        <v>10</v>
      </c>
      <c r="E139" s="408" t="s">
        <v>504</v>
      </c>
      <c r="F139" s="152">
        <v>275000</v>
      </c>
      <c r="G139" s="152">
        <f t="shared" si="4"/>
        <v>2750000</v>
      </c>
      <c r="H139" s="420">
        <f t="shared" si="5"/>
        <v>20.37037037037037</v>
      </c>
      <c r="I139" s="420">
        <f t="shared" si="6"/>
        <v>203.7037037037037</v>
      </c>
    </row>
    <row r="140" spans="1:9" ht="15" customHeight="1" x14ac:dyDescent="0.2">
      <c r="A140" s="148">
        <f>A139+1</f>
        <v>5</v>
      </c>
      <c r="B140" s="1" t="s">
        <v>273</v>
      </c>
      <c r="C140" s="149"/>
      <c r="D140" s="150">
        <v>1</v>
      </c>
      <c r="E140" s="151" t="s">
        <v>100</v>
      </c>
      <c r="F140" s="152">
        <v>550000</v>
      </c>
      <c r="G140" s="152">
        <f t="shared" si="4"/>
        <v>550000</v>
      </c>
      <c r="H140" s="420">
        <f t="shared" si="5"/>
        <v>40.74074074074074</v>
      </c>
      <c r="I140" s="420">
        <f t="shared" si="6"/>
        <v>40.74074074074074</v>
      </c>
    </row>
    <row r="141" spans="1:9" ht="15" customHeight="1" x14ac:dyDescent="0.2">
      <c r="A141" s="148">
        <f>A140+1</f>
        <v>6</v>
      </c>
      <c r="B141" s="1" t="s">
        <v>274</v>
      </c>
      <c r="C141" s="149"/>
      <c r="D141" s="150">
        <v>1</v>
      </c>
      <c r="E141" s="151" t="s">
        <v>100</v>
      </c>
      <c r="F141" s="152">
        <v>330000</v>
      </c>
      <c r="G141" s="152">
        <f t="shared" si="4"/>
        <v>330000</v>
      </c>
      <c r="H141" s="420">
        <f t="shared" si="5"/>
        <v>24.444444444444443</v>
      </c>
      <c r="I141" s="420">
        <f t="shared" si="6"/>
        <v>24.444444444444443</v>
      </c>
    </row>
    <row r="142" spans="1:9" ht="15" customHeight="1" x14ac:dyDescent="0.2">
      <c r="A142" s="163"/>
      <c r="B142" s="119"/>
      <c r="C142" s="164"/>
      <c r="D142" s="165"/>
      <c r="E142" s="166"/>
      <c r="F142" s="167"/>
      <c r="G142" s="167"/>
      <c r="H142" s="421"/>
      <c r="I142" s="421"/>
    </row>
    <row r="143" spans="1:9" ht="15" customHeight="1" x14ac:dyDescent="0.2">
      <c r="A143" s="153"/>
      <c r="B143" s="154"/>
      <c r="C143" s="157" t="s">
        <v>280</v>
      </c>
      <c r="D143" s="155"/>
      <c r="E143" s="156"/>
      <c r="F143" s="459"/>
      <c r="G143" s="158">
        <f>SUM(G136:G142)</f>
        <v>5005000</v>
      </c>
      <c r="H143" s="460"/>
      <c r="I143" s="422">
        <f>SUM(I136:I141)</f>
        <v>370.74074074074076</v>
      </c>
    </row>
    <row r="144" spans="1:9" x14ac:dyDescent="0.2">
      <c r="A144" s="142" t="s">
        <v>54</v>
      </c>
      <c r="B144" s="143" t="s">
        <v>191</v>
      </c>
      <c r="C144" s="144"/>
      <c r="D144" s="145"/>
      <c r="E144" s="146"/>
      <c r="F144" s="147"/>
      <c r="G144" s="147"/>
      <c r="H144" s="419"/>
      <c r="I144" s="419"/>
    </row>
    <row r="145" spans="1:9" s="185" customFormat="1" x14ac:dyDescent="0.2">
      <c r="A145" s="181">
        <v>1</v>
      </c>
      <c r="B145" s="9" t="s">
        <v>275</v>
      </c>
      <c r="C145" s="182"/>
      <c r="D145" s="183">
        <f>6.09*26*2</f>
        <v>316.68</v>
      </c>
      <c r="E145" s="184" t="s">
        <v>23</v>
      </c>
      <c r="F145" s="161">
        <v>271591.09999999998</v>
      </c>
      <c r="G145" s="152">
        <f>F145*D145</f>
        <v>86007469.547999993</v>
      </c>
      <c r="H145" s="420">
        <f t="shared" si="5"/>
        <v>20.117859259259259</v>
      </c>
      <c r="I145" s="420">
        <f t="shared" si="6"/>
        <v>6370.9236702222224</v>
      </c>
    </row>
    <row r="146" spans="1:9" s="185" customFormat="1" x14ac:dyDescent="0.2">
      <c r="A146" s="181">
        <f>A145+1</f>
        <v>2</v>
      </c>
      <c r="B146" s="186" t="s">
        <v>276</v>
      </c>
      <c r="C146" s="187"/>
      <c r="D146" s="188">
        <f>D145</f>
        <v>316.68</v>
      </c>
      <c r="E146" s="189" t="s">
        <v>37</v>
      </c>
      <c r="F146" s="190">
        <v>177871.1</v>
      </c>
      <c r="G146" s="152">
        <f>F146*D146</f>
        <v>56328219.948000006</v>
      </c>
      <c r="H146" s="420">
        <f t="shared" si="5"/>
        <v>13.175637037037037</v>
      </c>
      <c r="I146" s="420">
        <f t="shared" si="6"/>
        <v>4172.4607368888892</v>
      </c>
    </row>
    <row r="147" spans="1:9" s="185" customFormat="1" x14ac:dyDescent="0.2">
      <c r="A147" s="181">
        <f>A146+1</f>
        <v>3</v>
      </c>
      <c r="B147" s="186" t="s">
        <v>277</v>
      </c>
      <c r="C147" s="187"/>
      <c r="D147" s="188">
        <v>26</v>
      </c>
      <c r="E147" s="189" t="s">
        <v>37</v>
      </c>
      <c r="F147" s="190">
        <v>115119.4</v>
      </c>
      <c r="G147" s="152">
        <f>F147*D147</f>
        <v>2993104.4</v>
      </c>
      <c r="H147" s="420">
        <f t="shared" si="5"/>
        <v>8.5273629629629628</v>
      </c>
      <c r="I147" s="420">
        <f t="shared" si="6"/>
        <v>221.71143703703703</v>
      </c>
    </row>
    <row r="148" spans="1:9" s="185" customFormat="1" x14ac:dyDescent="0.2">
      <c r="A148" s="181">
        <f>A147+1</f>
        <v>4</v>
      </c>
      <c r="B148" s="186" t="s">
        <v>121</v>
      </c>
      <c r="C148" s="187"/>
      <c r="D148" s="188">
        <f>12+12+26+26</f>
        <v>76</v>
      </c>
      <c r="E148" s="189" t="str">
        <f>E146</f>
        <v>M'</v>
      </c>
      <c r="F148" s="190">
        <v>60500</v>
      </c>
      <c r="G148" s="152">
        <f>F148*D148</f>
        <v>4598000</v>
      </c>
      <c r="H148" s="420">
        <f t="shared" si="5"/>
        <v>4.4814814814814818</v>
      </c>
      <c r="I148" s="420">
        <f t="shared" si="6"/>
        <v>340.59259259259261</v>
      </c>
    </row>
    <row r="149" spans="1:9" x14ac:dyDescent="0.2">
      <c r="A149" s="163"/>
      <c r="B149" s="119"/>
      <c r="C149" s="164"/>
      <c r="D149" s="165"/>
      <c r="E149" s="166"/>
      <c r="F149" s="167"/>
      <c r="G149" s="161"/>
      <c r="H149" s="167"/>
      <c r="I149" s="161"/>
    </row>
    <row r="150" spans="1:9" ht="15.75" thickBot="1" x14ac:dyDescent="0.25">
      <c r="A150" s="153"/>
      <c r="B150" s="154"/>
      <c r="C150" s="157" t="s">
        <v>281</v>
      </c>
      <c r="D150" s="155"/>
      <c r="E150" s="156"/>
      <c r="F150" s="157"/>
      <c r="G150" s="158">
        <f>SUM(G145:G149)</f>
        <v>149926793.896</v>
      </c>
      <c r="H150" s="430"/>
      <c r="I150" s="429">
        <f>SUM(I145:I149)</f>
        <v>11105.688436740742</v>
      </c>
    </row>
    <row r="151" spans="1:9" ht="15.75" thickTop="1" x14ac:dyDescent="0.2">
      <c r="A151" s="191"/>
      <c r="B151" s="192"/>
      <c r="C151" s="192"/>
      <c r="D151" s="192"/>
      <c r="E151" s="192"/>
      <c r="F151" s="192"/>
      <c r="G151" s="193"/>
    </row>
  </sheetData>
  <mergeCells count="16">
    <mergeCell ref="E32:G32"/>
    <mergeCell ref="E33:G33"/>
    <mergeCell ref="A1:G1"/>
    <mergeCell ref="A8:A9"/>
    <mergeCell ref="B8:C9"/>
    <mergeCell ref="D8:E9"/>
    <mergeCell ref="E30:G30"/>
    <mergeCell ref="E31:G31"/>
    <mergeCell ref="A2:G2"/>
    <mergeCell ref="B92:C92"/>
    <mergeCell ref="E35:G35"/>
    <mergeCell ref="E37:G37"/>
    <mergeCell ref="A65:G65"/>
    <mergeCell ref="A70:A71"/>
    <mergeCell ref="B70:C71"/>
    <mergeCell ref="D70:E71"/>
  </mergeCells>
  <printOptions horizontalCentered="1" verticalCentered="1"/>
  <pageMargins left="0.5" right="0.25" top="0.25" bottom="0.25" header="0.5" footer="0.5"/>
  <pageSetup paperSize="9" scale="85" orientation="portrait" horizontalDpi="4294967293" verticalDpi="4294967293" r:id="rId1"/>
  <headerFooter alignWithMargins="0"/>
  <rowBreaks count="6" manualBreakCount="6">
    <brk id="399" max="65535" man="1"/>
    <brk id="456" max="65535" man="1"/>
    <brk id="477" max="65535" man="1"/>
    <brk id="506" max="65535" man="1"/>
    <brk id="555" max="65535" man="1"/>
    <brk id="621" max="655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0000"/>
  </sheetPr>
  <dimension ref="A1:I171"/>
  <sheetViews>
    <sheetView showGridLines="0" defaultGridColor="0" colorId="22" zoomScale="85" zoomScaleNormal="85" zoomScaleSheetLayoutView="100" workbookViewId="0">
      <selection activeCell="C6" sqref="C6"/>
    </sheetView>
  </sheetViews>
  <sheetFormatPr defaultColWidth="11.42578125" defaultRowHeight="15" x14ac:dyDescent="0.2"/>
  <cols>
    <col min="1" max="1" width="5.5703125" style="112" customWidth="1"/>
    <col min="2" max="2" width="13.85546875" style="112" customWidth="1"/>
    <col min="3" max="3" width="33" style="112" customWidth="1"/>
    <col min="4" max="4" width="7.85546875" style="112" customWidth="1"/>
    <col min="5" max="5" width="7.5703125" style="194" customWidth="1"/>
    <col min="6" max="6" width="16.5703125" style="112" customWidth="1"/>
    <col min="7" max="7" width="20.85546875" style="112" customWidth="1"/>
    <col min="8" max="8" width="19.140625" style="112" customWidth="1"/>
    <col min="9" max="16384" width="11.42578125" style="112"/>
  </cols>
  <sheetData>
    <row r="1" spans="1:8" ht="21" thickTop="1" x14ac:dyDescent="0.3">
      <c r="A1" s="506" t="s">
        <v>201</v>
      </c>
      <c r="B1" s="507"/>
      <c r="C1" s="507"/>
      <c r="D1" s="507"/>
      <c r="E1" s="507"/>
      <c r="F1" s="507"/>
      <c r="G1" s="507"/>
      <c r="H1" s="451"/>
    </row>
    <row r="2" spans="1:8" ht="15.95" customHeight="1" x14ac:dyDescent="0.25">
      <c r="A2" s="525" t="s">
        <v>527</v>
      </c>
      <c r="B2" s="516"/>
      <c r="C2" s="516"/>
      <c r="D2" s="516"/>
      <c r="E2" s="516"/>
      <c r="F2" s="516"/>
      <c r="G2" s="516"/>
      <c r="H2" s="451"/>
    </row>
    <row r="3" spans="1:8" ht="15.95" customHeight="1" x14ac:dyDescent="0.2">
      <c r="A3" s="113"/>
      <c r="B3" s="96"/>
      <c r="C3" s="96"/>
      <c r="D3" s="96"/>
      <c r="E3" s="96"/>
      <c r="F3" s="96"/>
      <c r="G3" s="96"/>
      <c r="H3" s="451"/>
    </row>
    <row r="4" spans="1:8" ht="15.95" customHeight="1" x14ac:dyDescent="0.2">
      <c r="A4" s="113" t="s">
        <v>150</v>
      </c>
      <c r="B4" s="96"/>
      <c r="C4" s="413" t="s">
        <v>518</v>
      </c>
      <c r="D4" s="96"/>
      <c r="E4" s="96"/>
      <c r="F4" s="96"/>
      <c r="G4" s="96"/>
      <c r="H4" s="451"/>
    </row>
    <row r="5" spans="1:8" ht="15.95" customHeight="1" x14ac:dyDescent="0.2">
      <c r="A5" s="113" t="s">
        <v>151</v>
      </c>
      <c r="B5" s="96"/>
      <c r="C5" s="413" t="s">
        <v>528</v>
      </c>
      <c r="D5" s="96"/>
      <c r="E5" s="96"/>
      <c r="F5" s="96"/>
      <c r="G5" s="96"/>
      <c r="H5" s="451"/>
    </row>
    <row r="6" spans="1:8" ht="15.95" customHeight="1" x14ac:dyDescent="0.2">
      <c r="A6" s="113" t="s">
        <v>200</v>
      </c>
      <c r="B6" s="96"/>
      <c r="C6" s="96" t="s">
        <v>134</v>
      </c>
      <c r="D6" s="96"/>
      <c r="E6" s="96"/>
      <c r="F6" s="96"/>
      <c r="G6" s="96"/>
      <c r="H6" s="451"/>
    </row>
    <row r="7" spans="1:8" ht="15.95" customHeight="1" x14ac:dyDescent="0.2">
      <c r="A7" s="113"/>
      <c r="B7" s="96"/>
      <c r="C7" s="96"/>
      <c r="D7" s="96"/>
      <c r="E7" s="96"/>
      <c r="F7" s="96"/>
      <c r="G7" s="96"/>
      <c r="H7" s="451"/>
    </row>
    <row r="8" spans="1:8" ht="15.95" customHeight="1" x14ac:dyDescent="0.2">
      <c r="A8" s="519" t="s">
        <v>0</v>
      </c>
      <c r="B8" s="521" t="s">
        <v>203</v>
      </c>
      <c r="C8" s="522"/>
      <c r="D8" s="522"/>
      <c r="E8" s="522"/>
      <c r="F8" s="114"/>
      <c r="G8" s="402" t="s">
        <v>202</v>
      </c>
      <c r="H8" s="452" t="s">
        <v>202</v>
      </c>
    </row>
    <row r="9" spans="1:8" ht="15.95" customHeight="1" thickBot="1" x14ac:dyDescent="0.25">
      <c r="A9" s="520"/>
      <c r="B9" s="523"/>
      <c r="C9" s="524"/>
      <c r="D9" s="524"/>
      <c r="E9" s="524"/>
      <c r="F9" s="115"/>
      <c r="G9" s="403" t="s">
        <v>2</v>
      </c>
      <c r="H9" s="453" t="s">
        <v>522</v>
      </c>
    </row>
    <row r="10" spans="1:8" ht="15.95" customHeight="1" thickTop="1" x14ac:dyDescent="0.2">
      <c r="A10" s="116" t="s">
        <v>3</v>
      </c>
      <c r="B10" s="1" t="s">
        <v>182</v>
      </c>
      <c r="C10" s="117"/>
      <c r="D10" s="117"/>
      <c r="E10" s="117"/>
      <c r="F10" s="117"/>
      <c r="G10" s="435">
        <f>G79</f>
        <v>57226895</v>
      </c>
      <c r="H10" s="454">
        <f>G10/13500</f>
        <v>4239.0292592592596</v>
      </c>
    </row>
    <row r="11" spans="1:8" ht="15.95" customHeight="1" x14ac:dyDescent="0.2">
      <c r="A11" s="116" t="s">
        <v>4</v>
      </c>
      <c r="B11" s="1" t="s">
        <v>183</v>
      </c>
      <c r="C11" s="117"/>
      <c r="D11" s="117"/>
      <c r="E11" s="117"/>
      <c r="F11" s="117"/>
      <c r="G11" s="435">
        <f>G87</f>
        <v>18200074.199999999</v>
      </c>
      <c r="H11" s="454">
        <f t="shared" ref="H11:H20" si="0">G11/13500</f>
        <v>1348.1536444444444</v>
      </c>
    </row>
    <row r="12" spans="1:8" ht="15.95" customHeight="1" x14ac:dyDescent="0.2">
      <c r="A12" s="116" t="s">
        <v>5</v>
      </c>
      <c r="B12" s="1" t="s">
        <v>184</v>
      </c>
      <c r="C12" s="117"/>
      <c r="D12" s="117"/>
      <c r="E12" s="117"/>
      <c r="F12" s="117"/>
      <c r="G12" s="435">
        <f>G95</f>
        <v>157215651.00999999</v>
      </c>
      <c r="H12" s="454">
        <f t="shared" si="0"/>
        <v>11645.603778518518</v>
      </c>
    </row>
    <row r="13" spans="1:8" ht="15.95" customHeight="1" x14ac:dyDescent="0.2">
      <c r="A13" s="116" t="s">
        <v>6</v>
      </c>
      <c r="B13" s="1" t="s">
        <v>185</v>
      </c>
      <c r="C13" s="117"/>
      <c r="D13" s="117"/>
      <c r="E13" s="117"/>
      <c r="F13" s="117"/>
      <c r="G13" s="435">
        <f>G104</f>
        <v>96523049.433568567</v>
      </c>
      <c r="H13" s="454">
        <f t="shared" si="0"/>
        <v>7149.8555135976712</v>
      </c>
    </row>
    <row r="14" spans="1:8" ht="15.95" customHeight="1" x14ac:dyDescent="0.2">
      <c r="A14" s="116" t="s">
        <v>38</v>
      </c>
      <c r="B14" s="1" t="s">
        <v>186</v>
      </c>
      <c r="C14" s="117"/>
      <c r="D14" s="117"/>
      <c r="E14" s="117"/>
      <c r="F14" s="117"/>
      <c r="G14" s="435">
        <f>G111</f>
        <v>58493267.25</v>
      </c>
      <c r="H14" s="454">
        <f t="shared" si="0"/>
        <v>4332.8346111111114</v>
      </c>
    </row>
    <row r="15" spans="1:8" ht="15.95" customHeight="1" x14ac:dyDescent="0.2">
      <c r="A15" s="116" t="s">
        <v>39</v>
      </c>
      <c r="B15" s="1" t="s">
        <v>187</v>
      </c>
      <c r="C15" s="117"/>
      <c r="D15" s="117"/>
      <c r="E15" s="117"/>
      <c r="F15" s="117"/>
      <c r="G15" s="435">
        <f>G115</f>
        <v>44740960</v>
      </c>
      <c r="H15" s="454">
        <f t="shared" si="0"/>
        <v>3314.1451851851853</v>
      </c>
    </row>
    <row r="16" spans="1:8" ht="15.95" customHeight="1" x14ac:dyDescent="0.2">
      <c r="A16" s="116" t="s">
        <v>7</v>
      </c>
      <c r="B16" s="1" t="s">
        <v>188</v>
      </c>
      <c r="C16" s="117"/>
      <c r="D16" s="117"/>
      <c r="E16" s="117"/>
      <c r="F16" s="117"/>
      <c r="G16" s="435">
        <f>G135</f>
        <v>48662696.924159996</v>
      </c>
      <c r="H16" s="454">
        <f t="shared" si="0"/>
        <v>3604.644216604444</v>
      </c>
    </row>
    <row r="17" spans="1:8" ht="15.95" customHeight="1" x14ac:dyDescent="0.2">
      <c r="A17" s="116" t="s">
        <v>40</v>
      </c>
      <c r="B17" s="1" t="s">
        <v>189</v>
      </c>
      <c r="C17" s="117"/>
      <c r="D17" s="117"/>
      <c r="E17" s="117"/>
      <c r="F17" s="117"/>
      <c r="G17" s="435">
        <f>G141</f>
        <v>30605535.355999999</v>
      </c>
      <c r="H17" s="454">
        <f t="shared" si="0"/>
        <v>2267.0766930370369</v>
      </c>
    </row>
    <row r="18" spans="1:8" ht="15.95" customHeight="1" x14ac:dyDescent="0.2">
      <c r="A18" s="116" t="s">
        <v>41</v>
      </c>
      <c r="B18" s="1" t="s">
        <v>190</v>
      </c>
      <c r="C18" s="117"/>
      <c r="D18" s="117"/>
      <c r="E18" s="117"/>
      <c r="F18" s="117"/>
      <c r="G18" s="435">
        <f>G150</f>
        <v>5797000</v>
      </c>
      <c r="H18" s="454">
        <f t="shared" si="0"/>
        <v>429.40740740740739</v>
      </c>
    </row>
    <row r="19" spans="1:8" ht="15.95" customHeight="1" x14ac:dyDescent="0.2">
      <c r="A19" s="116" t="s">
        <v>54</v>
      </c>
      <c r="B19" s="1" t="s">
        <v>199</v>
      </c>
      <c r="C19" s="117"/>
      <c r="D19" s="117"/>
      <c r="E19" s="117"/>
      <c r="F19" s="117"/>
      <c r="G19" s="435">
        <f>G163</f>
        <v>21865401.800000001</v>
      </c>
      <c r="H19" s="454">
        <f t="shared" si="0"/>
        <v>1619.6593925925927</v>
      </c>
    </row>
    <row r="20" spans="1:8" ht="15.95" customHeight="1" x14ac:dyDescent="0.2">
      <c r="A20" s="116" t="s">
        <v>55</v>
      </c>
      <c r="B20" s="1" t="s">
        <v>191</v>
      </c>
      <c r="C20" s="117"/>
      <c r="D20" s="117"/>
      <c r="E20" s="117"/>
      <c r="F20" s="117"/>
      <c r="G20" s="435">
        <f>G170</f>
        <v>104242241.928</v>
      </c>
      <c r="H20" s="454">
        <f t="shared" si="0"/>
        <v>7721.6475502222229</v>
      </c>
    </row>
    <row r="21" spans="1:8" ht="15.95" customHeight="1" x14ac:dyDescent="0.2">
      <c r="A21" s="118"/>
      <c r="B21" s="119"/>
      <c r="C21" s="120"/>
      <c r="D21" s="120"/>
      <c r="E21" s="120"/>
      <c r="F21" s="120"/>
      <c r="G21" s="436"/>
      <c r="H21" s="454"/>
    </row>
    <row r="22" spans="1:8" ht="15.95" customHeight="1" x14ac:dyDescent="0.2">
      <c r="A22" s="121"/>
      <c r="B22" s="122"/>
      <c r="C22" s="122"/>
      <c r="D22" s="122"/>
      <c r="E22" s="122"/>
      <c r="F22" s="123" t="s">
        <v>204</v>
      </c>
      <c r="G22" s="437">
        <f>SUM(G10:G20)</f>
        <v>643572772.90172851</v>
      </c>
      <c r="H22" s="431">
        <f>SUM(H10:H20)</f>
        <v>47672.057251979895</v>
      </c>
    </row>
    <row r="23" spans="1:8" ht="15.95" customHeight="1" x14ac:dyDescent="0.2">
      <c r="A23" s="125"/>
      <c r="B23" s="126"/>
      <c r="C23" s="127"/>
      <c r="D23" s="127"/>
      <c r="E23" s="127"/>
      <c r="F23" s="128"/>
      <c r="G23" s="127"/>
      <c r="H23" s="432"/>
    </row>
    <row r="24" spans="1:8" ht="15.95" customHeight="1" x14ac:dyDescent="0.2">
      <c r="A24" s="130"/>
      <c r="B24" s="96"/>
      <c r="C24" s="96"/>
      <c r="D24" s="96"/>
      <c r="E24" s="96"/>
      <c r="F24" s="97" t="s">
        <v>116</v>
      </c>
      <c r="G24" s="438">
        <f>G22</f>
        <v>643572772.90172851</v>
      </c>
      <c r="H24" s="433">
        <f>H22</f>
        <v>47672.057251979895</v>
      </c>
    </row>
    <row r="25" spans="1:8" ht="15.95" customHeight="1" x14ac:dyDescent="0.2">
      <c r="A25" s="130"/>
      <c r="B25" s="96"/>
      <c r="C25" s="96"/>
      <c r="D25" s="96"/>
      <c r="E25" s="96"/>
      <c r="F25" s="97" t="s">
        <v>205</v>
      </c>
      <c r="G25" s="439">
        <f>INT(G24/1000)*1000</f>
        <v>643572000</v>
      </c>
      <c r="H25" s="434">
        <f>INT(H24/1)*1</f>
        <v>47672</v>
      </c>
    </row>
    <row r="26" spans="1:8" x14ac:dyDescent="0.2">
      <c r="A26" s="130"/>
      <c r="B26" s="96"/>
      <c r="C26" s="96"/>
      <c r="D26" s="96"/>
      <c r="E26" s="96"/>
      <c r="F26" s="97"/>
      <c r="G26" s="440"/>
      <c r="H26" s="455"/>
    </row>
    <row r="27" spans="1:8" x14ac:dyDescent="0.2">
      <c r="A27" s="130"/>
      <c r="B27" s="96"/>
      <c r="C27" s="133"/>
      <c r="D27" s="133"/>
      <c r="E27" s="133"/>
      <c r="F27" s="134"/>
      <c r="G27" s="440"/>
      <c r="H27" s="456"/>
    </row>
    <row r="28" spans="1:8" x14ac:dyDescent="0.2">
      <c r="A28" s="130"/>
      <c r="B28" s="96"/>
      <c r="C28" s="133"/>
      <c r="D28" s="133"/>
      <c r="E28" s="133"/>
      <c r="F28" s="134"/>
      <c r="G28" s="440"/>
      <c r="H28" s="451"/>
    </row>
    <row r="29" spans="1:8" x14ac:dyDescent="0.2">
      <c r="A29" s="130"/>
      <c r="B29" s="96"/>
      <c r="C29" s="133"/>
      <c r="D29" s="133"/>
      <c r="E29" s="133"/>
      <c r="F29" s="134"/>
      <c r="G29" s="440"/>
      <c r="H29" s="457"/>
    </row>
    <row r="30" spans="1:8" x14ac:dyDescent="0.2">
      <c r="A30" s="113"/>
      <c r="B30" s="96"/>
      <c r="C30" s="96"/>
      <c r="D30" s="96"/>
      <c r="E30" s="96"/>
      <c r="F30" s="97"/>
      <c r="G30" s="438"/>
      <c r="H30" s="451"/>
    </row>
    <row r="31" spans="1:8" x14ac:dyDescent="0.2">
      <c r="A31" s="113"/>
      <c r="B31" s="96"/>
      <c r="C31" s="96"/>
      <c r="D31" s="96"/>
      <c r="E31" s="504"/>
      <c r="F31" s="504"/>
      <c r="G31" s="504"/>
      <c r="H31" s="451"/>
    </row>
    <row r="32" spans="1:8" x14ac:dyDescent="0.2">
      <c r="A32" s="113"/>
      <c r="B32" s="96"/>
      <c r="C32" s="96"/>
      <c r="D32" s="96"/>
      <c r="E32" s="505"/>
      <c r="F32" s="504"/>
      <c r="G32" s="504"/>
      <c r="H32" s="451"/>
    </row>
    <row r="33" spans="1:8" x14ac:dyDescent="0.2">
      <c r="A33" s="113"/>
      <c r="B33" s="96"/>
      <c r="C33" s="96"/>
      <c r="D33" s="96"/>
      <c r="E33" s="504"/>
      <c r="F33" s="504"/>
      <c r="G33" s="504"/>
      <c r="H33" s="451"/>
    </row>
    <row r="34" spans="1:8" x14ac:dyDescent="0.2">
      <c r="A34" s="113"/>
      <c r="B34" s="96"/>
      <c r="C34" s="96"/>
      <c r="D34" s="96"/>
      <c r="E34" s="505"/>
      <c r="F34" s="504"/>
      <c r="G34" s="504"/>
      <c r="H34" s="451"/>
    </row>
    <row r="35" spans="1:8" x14ac:dyDescent="0.2">
      <c r="A35" s="113"/>
      <c r="B35" s="96"/>
      <c r="C35" s="96"/>
      <c r="D35" s="96"/>
      <c r="E35" s="96"/>
      <c r="F35" s="97"/>
      <c r="G35" s="96"/>
      <c r="H35" s="451"/>
    </row>
    <row r="36" spans="1:8" x14ac:dyDescent="0.2">
      <c r="A36" s="113"/>
      <c r="B36" s="96"/>
      <c r="C36" s="96"/>
      <c r="D36" s="96"/>
      <c r="E36" s="504"/>
      <c r="F36" s="504"/>
      <c r="G36" s="504"/>
      <c r="H36" s="451"/>
    </row>
    <row r="37" spans="1:8" x14ac:dyDescent="0.2">
      <c r="A37" s="113"/>
      <c r="B37" s="96"/>
      <c r="C37" s="96"/>
      <c r="D37" s="96"/>
      <c r="E37" s="96"/>
      <c r="F37" s="97"/>
      <c r="G37" s="96"/>
      <c r="H37" s="451"/>
    </row>
    <row r="38" spans="1:8" x14ac:dyDescent="0.2">
      <c r="A38" s="113"/>
      <c r="B38" s="96"/>
      <c r="C38" s="96"/>
      <c r="D38" s="96"/>
      <c r="E38" s="504"/>
      <c r="F38" s="504"/>
      <c r="G38" s="504"/>
      <c r="H38" s="451"/>
    </row>
    <row r="39" spans="1:8" x14ac:dyDescent="0.2">
      <c r="A39" s="113"/>
      <c r="B39" s="96"/>
      <c r="C39" s="96"/>
      <c r="D39" s="96"/>
      <c r="E39" s="96"/>
      <c r="F39" s="111"/>
      <c r="G39" s="401"/>
      <c r="H39" s="451"/>
    </row>
    <row r="40" spans="1:8" ht="15.75" thickBot="1" x14ac:dyDescent="0.25">
      <c r="A40" s="135"/>
      <c r="B40" s="136"/>
      <c r="C40" s="136"/>
      <c r="D40" s="136"/>
      <c r="E40" s="136"/>
      <c r="F40" s="137"/>
      <c r="G40" s="137"/>
      <c r="H40" s="458"/>
    </row>
    <row r="41" spans="1:8" ht="15.75" thickTop="1" x14ac:dyDescent="0.2">
      <c r="A41" s="96"/>
      <c r="B41" s="96"/>
      <c r="C41" s="96"/>
      <c r="D41" s="96"/>
      <c r="E41" s="96"/>
      <c r="F41" s="111"/>
      <c r="G41" s="111"/>
    </row>
    <row r="42" spans="1:8" x14ac:dyDescent="0.2">
      <c r="A42" s="96"/>
      <c r="B42" s="96"/>
      <c r="C42" s="96"/>
      <c r="D42" s="96"/>
      <c r="E42" s="96"/>
      <c r="F42" s="111"/>
      <c r="G42" s="111"/>
    </row>
    <row r="43" spans="1:8" x14ac:dyDescent="0.2">
      <c r="A43" s="96"/>
      <c r="B43" s="96"/>
      <c r="C43" s="96"/>
      <c r="D43" s="96"/>
      <c r="E43" s="96"/>
      <c r="F43" s="111"/>
      <c r="G43" s="111"/>
    </row>
    <row r="44" spans="1:8" x14ac:dyDescent="0.2">
      <c r="A44" s="96"/>
      <c r="B44" s="96"/>
      <c r="C44" s="96"/>
      <c r="D44" s="96"/>
      <c r="E44" s="96"/>
      <c r="F44" s="111"/>
      <c r="G44" s="111"/>
    </row>
    <row r="45" spans="1:8" x14ac:dyDescent="0.2">
      <c r="A45" s="96"/>
      <c r="B45" s="96"/>
      <c r="C45" s="96"/>
      <c r="D45" s="96"/>
      <c r="E45" s="96"/>
      <c r="F45" s="111"/>
      <c r="G45" s="111"/>
    </row>
    <row r="46" spans="1:8" x14ac:dyDescent="0.2">
      <c r="A46" s="96"/>
      <c r="B46" s="96"/>
      <c r="C46" s="96"/>
      <c r="D46" s="96"/>
      <c r="E46" s="96"/>
      <c r="F46" s="111"/>
      <c r="G46" s="111"/>
    </row>
    <row r="47" spans="1:8" x14ac:dyDescent="0.2">
      <c r="A47" s="96"/>
      <c r="B47" s="96"/>
      <c r="C47" s="96"/>
      <c r="D47" s="96"/>
      <c r="E47" s="96"/>
      <c r="F47" s="111"/>
      <c r="G47" s="111"/>
    </row>
    <row r="48" spans="1:8" x14ac:dyDescent="0.2">
      <c r="A48" s="96"/>
      <c r="B48" s="96"/>
      <c r="C48" s="96"/>
      <c r="D48" s="96"/>
      <c r="E48" s="96"/>
      <c r="F48" s="111"/>
      <c r="G48" s="111"/>
    </row>
    <row r="49" spans="1:7" x14ac:dyDescent="0.2">
      <c r="A49" s="96"/>
      <c r="B49" s="96"/>
      <c r="C49" s="96"/>
      <c r="D49" s="96"/>
      <c r="E49" s="96"/>
      <c r="F49" s="111"/>
      <c r="G49" s="111"/>
    </row>
    <row r="50" spans="1:7" x14ac:dyDescent="0.2">
      <c r="A50" s="96"/>
      <c r="B50" s="96"/>
      <c r="C50" s="96"/>
      <c r="D50" s="96"/>
      <c r="E50" s="96"/>
      <c r="F50" s="111"/>
      <c r="G50" s="111"/>
    </row>
    <row r="51" spans="1:7" x14ac:dyDescent="0.2">
      <c r="A51" s="96"/>
      <c r="B51" s="96"/>
      <c r="C51" s="96"/>
      <c r="D51" s="96"/>
      <c r="E51" s="96"/>
      <c r="F51" s="111"/>
      <c r="G51" s="111"/>
    </row>
    <row r="52" spans="1:7" x14ac:dyDescent="0.2">
      <c r="A52" s="96"/>
      <c r="B52" s="96"/>
      <c r="C52" s="96"/>
      <c r="D52" s="96"/>
      <c r="E52" s="96"/>
      <c r="F52" s="111"/>
      <c r="G52" s="111"/>
    </row>
    <row r="53" spans="1:7" x14ac:dyDescent="0.2">
      <c r="A53" s="96"/>
      <c r="B53" s="96"/>
      <c r="C53" s="96"/>
      <c r="D53" s="96"/>
      <c r="E53" s="96"/>
      <c r="F53" s="111"/>
      <c r="G53" s="111"/>
    </row>
    <row r="54" spans="1:7" x14ac:dyDescent="0.2">
      <c r="A54" s="96"/>
      <c r="B54" s="96"/>
      <c r="C54" s="96"/>
      <c r="D54" s="96"/>
      <c r="E54" s="96"/>
      <c r="F54" s="111"/>
      <c r="G54" s="111"/>
    </row>
    <row r="55" spans="1:7" x14ac:dyDescent="0.2">
      <c r="A55" s="96"/>
      <c r="B55" s="96"/>
      <c r="C55" s="96"/>
      <c r="D55" s="96"/>
      <c r="E55" s="96"/>
      <c r="F55" s="111"/>
      <c r="G55" s="111"/>
    </row>
    <row r="56" spans="1:7" x14ac:dyDescent="0.2">
      <c r="A56" s="96"/>
      <c r="B56" s="96"/>
      <c r="C56" s="96"/>
      <c r="D56" s="96"/>
      <c r="E56" s="96"/>
      <c r="F56" s="111"/>
      <c r="G56" s="111"/>
    </row>
    <row r="57" spans="1:7" x14ac:dyDescent="0.2">
      <c r="A57" s="96"/>
      <c r="B57" s="96"/>
      <c r="C57" s="96"/>
      <c r="D57" s="96"/>
      <c r="E57" s="96"/>
      <c r="F57" s="111"/>
      <c r="G57" s="111"/>
    </row>
    <row r="58" spans="1:7" x14ac:dyDescent="0.2">
      <c r="A58" s="96"/>
      <c r="B58" s="96"/>
      <c r="C58" s="96"/>
      <c r="D58" s="96"/>
      <c r="E58" s="96"/>
      <c r="F58" s="111"/>
      <c r="G58" s="111"/>
    </row>
    <row r="59" spans="1:7" x14ac:dyDescent="0.2">
      <c r="A59" s="96"/>
      <c r="B59" s="96"/>
      <c r="C59" s="96"/>
      <c r="D59" s="96"/>
      <c r="E59" s="96"/>
      <c r="F59" s="111"/>
      <c r="G59" s="111"/>
    </row>
    <row r="60" spans="1:7" x14ac:dyDescent="0.2">
      <c r="A60" s="96"/>
      <c r="B60" s="96"/>
      <c r="C60" s="96"/>
      <c r="D60" s="96"/>
      <c r="E60" s="96"/>
      <c r="F60" s="111"/>
      <c r="G60" s="111"/>
    </row>
    <row r="61" spans="1:7" x14ac:dyDescent="0.2">
      <c r="A61" s="96"/>
      <c r="B61" s="96"/>
      <c r="C61" s="96"/>
      <c r="D61" s="96"/>
      <c r="E61" s="96"/>
      <c r="F61" s="111"/>
      <c r="G61" s="111"/>
    </row>
    <row r="62" spans="1:7" x14ac:dyDescent="0.2">
      <c r="A62" s="96"/>
      <c r="B62" s="96"/>
      <c r="C62" s="96"/>
      <c r="D62" s="96"/>
      <c r="E62" s="96"/>
      <c r="F62" s="111"/>
      <c r="G62" s="111"/>
    </row>
    <row r="63" spans="1:7" x14ac:dyDescent="0.2">
      <c r="A63" s="96"/>
      <c r="B63" s="96"/>
      <c r="C63" s="96"/>
      <c r="D63" s="96"/>
      <c r="E63" s="96"/>
      <c r="F63" s="111"/>
      <c r="G63" s="111"/>
    </row>
    <row r="64" spans="1:7" x14ac:dyDescent="0.2">
      <c r="A64" s="96"/>
      <c r="B64" s="96"/>
      <c r="C64" s="96"/>
      <c r="D64" s="96"/>
      <c r="E64" s="96"/>
      <c r="F64" s="111"/>
      <c r="G64" s="111"/>
    </row>
    <row r="65" spans="1:9" ht="18" x14ac:dyDescent="0.25">
      <c r="A65" s="516" t="s">
        <v>517</v>
      </c>
      <c r="B65" s="516"/>
      <c r="C65" s="516"/>
      <c r="D65" s="516"/>
      <c r="E65" s="516"/>
      <c r="F65" s="516"/>
      <c r="G65" s="516"/>
    </row>
    <row r="66" spans="1:9" x14ac:dyDescent="0.2">
      <c r="A66" s="96"/>
      <c r="B66" s="96"/>
      <c r="C66" s="96"/>
      <c r="D66" s="96"/>
      <c r="E66" s="96"/>
      <c r="F66" s="96"/>
      <c r="G66" s="96"/>
    </row>
    <row r="67" spans="1:9" x14ac:dyDescent="0.2">
      <c r="A67" s="413" t="s">
        <v>493</v>
      </c>
      <c r="B67" s="96"/>
      <c r="C67" s="96" t="str">
        <f>C4</f>
        <v>: PERMANENT SCHOOL</v>
      </c>
      <c r="D67" s="96"/>
      <c r="E67" s="96"/>
      <c r="F67" s="96"/>
      <c r="G67" s="96"/>
    </row>
    <row r="68" spans="1:9" x14ac:dyDescent="0.2">
      <c r="A68" s="413" t="s">
        <v>151</v>
      </c>
      <c r="B68" s="96"/>
      <c r="C68" s="96" t="str">
        <f>C5</f>
        <v>: OUTER ISLAND - INDONESIA</v>
      </c>
      <c r="D68" s="96"/>
      <c r="E68" s="96"/>
      <c r="F68" s="96"/>
      <c r="G68" s="96"/>
    </row>
    <row r="69" spans="1:9" x14ac:dyDescent="0.2">
      <c r="A69" s="138"/>
      <c r="B69" s="139"/>
      <c r="C69" s="139"/>
      <c r="D69" s="139"/>
      <c r="E69" s="139"/>
      <c r="F69" s="139"/>
      <c r="G69" s="139"/>
    </row>
    <row r="70" spans="1:9" x14ac:dyDescent="0.2">
      <c r="A70" s="510" t="s">
        <v>0</v>
      </c>
      <c r="B70" s="510" t="s">
        <v>61</v>
      </c>
      <c r="C70" s="517"/>
      <c r="D70" s="510" t="s">
        <v>1</v>
      </c>
      <c r="E70" s="517"/>
      <c r="F70" s="140" t="s">
        <v>227</v>
      </c>
      <c r="G70" s="140" t="s">
        <v>202</v>
      </c>
      <c r="H70" s="140" t="s">
        <v>227</v>
      </c>
      <c r="I70" s="140" t="s">
        <v>202</v>
      </c>
    </row>
    <row r="71" spans="1:9" ht="15.75" thickBot="1" x14ac:dyDescent="0.25">
      <c r="A71" s="512"/>
      <c r="B71" s="512"/>
      <c r="C71" s="518"/>
      <c r="D71" s="512"/>
      <c r="E71" s="518"/>
      <c r="F71" s="141" t="s">
        <v>2</v>
      </c>
      <c r="G71" s="141" t="s">
        <v>2</v>
      </c>
      <c r="H71" s="141" t="s">
        <v>522</v>
      </c>
      <c r="I71" s="141" t="s">
        <v>522</v>
      </c>
    </row>
    <row r="72" spans="1:9" ht="15" customHeight="1" thickTop="1" x14ac:dyDescent="0.2">
      <c r="A72" s="142" t="s">
        <v>3</v>
      </c>
      <c r="B72" s="143" t="s">
        <v>207</v>
      </c>
      <c r="C72" s="144"/>
      <c r="D72" s="145"/>
      <c r="E72" s="146"/>
      <c r="F72" s="147"/>
      <c r="G72" s="147"/>
      <c r="H72" s="147"/>
      <c r="I72" s="147"/>
    </row>
    <row r="73" spans="1:9" ht="15" customHeight="1" x14ac:dyDescent="0.2">
      <c r="A73" s="148">
        <v>1</v>
      </c>
      <c r="B73" s="1" t="s">
        <v>209</v>
      </c>
      <c r="C73" s="149"/>
      <c r="D73" s="150">
        <v>1</v>
      </c>
      <c r="E73" s="151" t="s">
        <v>33</v>
      </c>
      <c r="F73" s="152">
        <v>3850000</v>
      </c>
      <c r="G73" s="152">
        <f>F73*D73</f>
        <v>3850000</v>
      </c>
      <c r="H73" s="152">
        <f>F73/13500</f>
        <v>285.18518518518516</v>
      </c>
      <c r="I73" s="152">
        <f>H73*D73</f>
        <v>285.18518518518516</v>
      </c>
    </row>
    <row r="74" spans="1:9" ht="15" customHeight="1" x14ac:dyDescent="0.2">
      <c r="A74" s="148">
        <f>+A73+1</f>
        <v>2</v>
      </c>
      <c r="B74" s="1" t="s">
        <v>210</v>
      </c>
      <c r="C74" s="149"/>
      <c r="D74" s="150">
        <v>1</v>
      </c>
      <c r="E74" s="151" t="s">
        <v>33</v>
      </c>
      <c r="F74" s="152">
        <v>42900000</v>
      </c>
      <c r="G74" s="152">
        <f>F74*D74</f>
        <v>42900000</v>
      </c>
      <c r="H74" s="152">
        <f t="shared" ref="H74:H137" si="1">F74/13500</f>
        <v>3177.7777777777778</v>
      </c>
      <c r="I74" s="152">
        <f t="shared" ref="I74:I137" si="2">H74*D74</f>
        <v>3177.7777777777778</v>
      </c>
    </row>
    <row r="75" spans="1:9" ht="15" customHeight="1" x14ac:dyDescent="0.2">
      <c r="A75" s="148">
        <f>+A74+1</f>
        <v>3</v>
      </c>
      <c r="B75" s="1" t="s">
        <v>211</v>
      </c>
      <c r="C75" s="149"/>
      <c r="D75" s="150">
        <v>1</v>
      </c>
      <c r="E75" s="151" t="s">
        <v>33</v>
      </c>
      <c r="F75" s="152">
        <v>4950000</v>
      </c>
      <c r="G75" s="152">
        <f>F75*D75</f>
        <v>4950000</v>
      </c>
      <c r="H75" s="152">
        <f t="shared" si="1"/>
        <v>366.66666666666669</v>
      </c>
      <c r="I75" s="152">
        <f t="shared" si="2"/>
        <v>366.66666666666669</v>
      </c>
    </row>
    <row r="76" spans="1:9" ht="15" customHeight="1" x14ac:dyDescent="0.2">
      <c r="A76" s="148">
        <f>+A75+1</f>
        <v>4</v>
      </c>
      <c r="B76" s="1" t="s">
        <v>212</v>
      </c>
      <c r="C76" s="149"/>
      <c r="D76" s="150">
        <f>9+9+16+16</f>
        <v>50</v>
      </c>
      <c r="E76" s="151" t="s">
        <v>37</v>
      </c>
      <c r="F76" s="152">
        <v>110537.9</v>
      </c>
      <c r="G76" s="152">
        <f>F76*D76</f>
        <v>5526895</v>
      </c>
      <c r="H76" s="152">
        <f t="shared" si="1"/>
        <v>8.1879925925925914</v>
      </c>
      <c r="I76" s="152">
        <f t="shared" si="2"/>
        <v>409.39962962962954</v>
      </c>
    </row>
    <row r="77" spans="1:9" s="201" customFormat="1" ht="15.75" hidden="1" customHeight="1" x14ac:dyDescent="0.2">
      <c r="A77" s="195"/>
      <c r="B77" s="196" t="s">
        <v>117</v>
      </c>
      <c r="C77" s="197"/>
      <c r="D77" s="198">
        <v>100</v>
      </c>
      <c r="E77" s="199"/>
      <c r="F77" s="200">
        <v>0</v>
      </c>
      <c r="G77" s="200"/>
      <c r="H77" s="152">
        <f t="shared" si="1"/>
        <v>0</v>
      </c>
      <c r="I77" s="152">
        <f t="shared" si="2"/>
        <v>0</v>
      </c>
    </row>
    <row r="78" spans="1:9" s="201" customFormat="1" ht="15.75" customHeight="1" x14ac:dyDescent="0.2">
      <c r="A78" s="202"/>
      <c r="B78" s="203" t="s">
        <v>115</v>
      </c>
      <c r="C78" s="204"/>
      <c r="D78" s="205">
        <f>16*9</f>
        <v>144</v>
      </c>
      <c r="E78" s="206"/>
      <c r="F78" s="207"/>
      <c r="G78" s="207"/>
      <c r="H78" s="167"/>
      <c r="I78" s="167"/>
    </row>
    <row r="79" spans="1:9" ht="15.75" x14ac:dyDescent="0.25">
      <c r="A79" s="153"/>
      <c r="B79" s="154"/>
      <c r="C79" s="157" t="s">
        <v>213</v>
      </c>
      <c r="D79" s="155"/>
      <c r="E79" s="423"/>
      <c r="F79" s="426"/>
      <c r="G79" s="424">
        <f>SUM(G73:G78)</f>
        <v>57226895</v>
      </c>
      <c r="H79" s="427"/>
      <c r="I79" s="427">
        <f>SUM(I73:I78)</f>
        <v>4239.0292592592596</v>
      </c>
    </row>
    <row r="80" spans="1:9" ht="15" customHeight="1" x14ac:dyDescent="0.2">
      <c r="A80" s="142" t="s">
        <v>4</v>
      </c>
      <c r="B80" s="143" t="s">
        <v>494</v>
      </c>
      <c r="C80" s="159"/>
      <c r="D80" s="145"/>
      <c r="E80" s="146"/>
      <c r="F80" s="147"/>
      <c r="G80" s="147"/>
      <c r="H80" s="147"/>
      <c r="I80" s="147"/>
    </row>
    <row r="81" spans="1:9" ht="15" customHeight="1" x14ac:dyDescent="0.2">
      <c r="A81" s="160">
        <v>1</v>
      </c>
      <c r="B81" s="1" t="s">
        <v>214</v>
      </c>
      <c r="C81" s="149"/>
      <c r="D81" s="150">
        <f>0.9*0.7*D77</f>
        <v>63</v>
      </c>
      <c r="E81" s="151" t="s">
        <v>16</v>
      </c>
      <c r="F81" s="161">
        <v>56060.4</v>
      </c>
      <c r="G81" s="152">
        <f>F81*D81</f>
        <v>3531805.2</v>
      </c>
      <c r="H81" s="152">
        <f t="shared" si="1"/>
        <v>4.152622222222222</v>
      </c>
      <c r="I81" s="152">
        <f t="shared" si="2"/>
        <v>261.61519999999996</v>
      </c>
    </row>
    <row r="82" spans="1:9" ht="15" customHeight="1" x14ac:dyDescent="0.2">
      <c r="A82" s="160">
        <f>A81+1</f>
        <v>2</v>
      </c>
      <c r="B82" s="1" t="s">
        <v>51</v>
      </c>
      <c r="C82" s="149"/>
      <c r="D82" s="162">
        <f>0.3*0.9*D77</f>
        <v>27</v>
      </c>
      <c r="E82" s="151" t="s">
        <v>16</v>
      </c>
      <c r="F82" s="152">
        <v>159364.70000000001</v>
      </c>
      <c r="G82" s="152">
        <f>F82*D82</f>
        <v>4302846.9000000004</v>
      </c>
      <c r="H82" s="152">
        <f t="shared" si="1"/>
        <v>11.804792592592593</v>
      </c>
      <c r="I82" s="152">
        <f t="shared" si="2"/>
        <v>318.7294</v>
      </c>
    </row>
    <row r="83" spans="1:9" ht="15" customHeight="1" x14ac:dyDescent="0.2">
      <c r="A83" s="160">
        <f>A82+1</f>
        <v>3</v>
      </c>
      <c r="B83" s="1" t="s">
        <v>52</v>
      </c>
      <c r="C83" s="149"/>
      <c r="D83" s="150">
        <f>(1/3*D81)</f>
        <v>21</v>
      </c>
      <c r="E83" s="151" t="s">
        <v>16</v>
      </c>
      <c r="F83" s="152">
        <v>26869.7</v>
      </c>
      <c r="G83" s="152">
        <f>F83*D83</f>
        <v>564263.70000000007</v>
      </c>
      <c r="H83" s="152">
        <f t="shared" si="1"/>
        <v>1.9903481481481482</v>
      </c>
      <c r="I83" s="152">
        <f t="shared" si="2"/>
        <v>41.797311111111114</v>
      </c>
    </row>
    <row r="84" spans="1:9" ht="15" customHeight="1" x14ac:dyDescent="0.2">
      <c r="A84" s="160">
        <f>A83+1</f>
        <v>4</v>
      </c>
      <c r="B84" s="1" t="s">
        <v>118</v>
      </c>
      <c r="C84" s="149"/>
      <c r="D84" s="150">
        <f>0.3*D78</f>
        <v>43.199999999999996</v>
      </c>
      <c r="E84" s="151" t="s">
        <v>16</v>
      </c>
      <c r="F84" s="152">
        <v>173757.1</v>
      </c>
      <c r="G84" s="152">
        <f>F84*D84</f>
        <v>7506306.7199999997</v>
      </c>
      <c r="H84" s="152">
        <f t="shared" si="1"/>
        <v>12.870896296296296</v>
      </c>
      <c r="I84" s="152">
        <f t="shared" si="2"/>
        <v>556.02271999999994</v>
      </c>
    </row>
    <row r="85" spans="1:9" ht="15" customHeight="1" x14ac:dyDescent="0.2">
      <c r="A85" s="160">
        <f>A84+1</f>
        <v>5</v>
      </c>
      <c r="B85" s="1" t="s">
        <v>53</v>
      </c>
      <c r="C85" s="149"/>
      <c r="D85" s="150">
        <f>0.1*D78</f>
        <v>14.4</v>
      </c>
      <c r="E85" s="151" t="s">
        <v>16</v>
      </c>
      <c r="F85" s="152">
        <v>159364.70000000001</v>
      </c>
      <c r="G85" s="152">
        <f>F85*D85</f>
        <v>2294851.6800000002</v>
      </c>
      <c r="H85" s="152">
        <f t="shared" si="1"/>
        <v>11.804792592592593</v>
      </c>
      <c r="I85" s="152">
        <f t="shared" si="2"/>
        <v>169.98901333333333</v>
      </c>
    </row>
    <row r="86" spans="1:9" ht="15" customHeight="1" x14ac:dyDescent="0.2">
      <c r="A86" s="163"/>
      <c r="B86" s="119"/>
      <c r="C86" s="164"/>
      <c r="D86" s="165"/>
      <c r="E86" s="166"/>
      <c r="F86" s="167"/>
      <c r="G86" s="167"/>
      <c r="H86" s="167"/>
      <c r="I86" s="167"/>
    </row>
    <row r="87" spans="1:9" ht="15.75" x14ac:dyDescent="0.25">
      <c r="A87" s="153"/>
      <c r="B87" s="154"/>
      <c r="C87" s="157" t="s">
        <v>220</v>
      </c>
      <c r="D87" s="155"/>
      <c r="E87" s="423"/>
      <c r="F87" s="426"/>
      <c r="G87" s="424">
        <f>SUM(G81:G86)</f>
        <v>18200074.199999999</v>
      </c>
      <c r="H87" s="427"/>
      <c r="I87" s="427">
        <f>SUM(I81:I85)</f>
        <v>1348.1536444444441</v>
      </c>
    </row>
    <row r="88" spans="1:9" ht="15" customHeight="1" x14ac:dyDescent="0.2">
      <c r="A88" s="142" t="s">
        <v>5</v>
      </c>
      <c r="B88" s="143" t="s">
        <v>490</v>
      </c>
      <c r="C88" s="144"/>
      <c r="D88" s="145"/>
      <c r="E88" s="146"/>
      <c r="F88" s="147"/>
      <c r="G88" s="147"/>
      <c r="H88" s="147"/>
      <c r="I88" s="147"/>
    </row>
    <row r="89" spans="1:9" ht="15" customHeight="1" x14ac:dyDescent="0.2">
      <c r="A89" s="160">
        <v>1</v>
      </c>
      <c r="B89" s="376" t="s">
        <v>215</v>
      </c>
      <c r="C89" s="149"/>
      <c r="D89" s="150">
        <f>(0.3+0.7)/2*0.85*D77</f>
        <v>42.5</v>
      </c>
      <c r="E89" s="151" t="s">
        <v>16</v>
      </c>
      <c r="F89" s="152">
        <v>881669.8</v>
      </c>
      <c r="G89" s="152">
        <f>F89*D89</f>
        <v>37470966.5</v>
      </c>
      <c r="H89" s="152">
        <f t="shared" si="1"/>
        <v>65.308874074074083</v>
      </c>
      <c r="I89" s="152">
        <f t="shared" si="2"/>
        <v>2775.6271481481485</v>
      </c>
    </row>
    <row r="90" spans="1:9" ht="15" customHeight="1" x14ac:dyDescent="0.2">
      <c r="A90" s="160">
        <f>+A89+1</f>
        <v>2</v>
      </c>
      <c r="B90" s="375" t="s">
        <v>216</v>
      </c>
      <c r="C90" s="149"/>
      <c r="D90" s="162">
        <f>(64*3.5)+(37.69*2)</f>
        <v>299.38</v>
      </c>
      <c r="E90" s="151" t="s">
        <v>23</v>
      </c>
      <c r="F90" s="152">
        <v>178748.9</v>
      </c>
      <c r="G90" s="152">
        <f>F90*D90</f>
        <v>53513845.681999996</v>
      </c>
      <c r="H90" s="152">
        <f t="shared" si="1"/>
        <v>13.240659259259258</v>
      </c>
      <c r="I90" s="152">
        <f t="shared" si="2"/>
        <v>3963.9885690370365</v>
      </c>
    </row>
    <row r="91" spans="1:9" ht="15" customHeight="1" x14ac:dyDescent="0.2">
      <c r="A91" s="160">
        <f>+A90+1</f>
        <v>3</v>
      </c>
      <c r="B91" s="375" t="s">
        <v>217</v>
      </c>
      <c r="C91" s="149"/>
      <c r="D91" s="150">
        <f>(D90*2)+(0.7*3.5*24)</f>
        <v>657.56</v>
      </c>
      <c r="E91" s="151" t="s">
        <v>23</v>
      </c>
      <c r="F91" s="152">
        <v>69743.3</v>
      </c>
      <c r="G91" s="152">
        <f>F91*D91</f>
        <v>45860404.347999997</v>
      </c>
      <c r="H91" s="152">
        <f t="shared" si="1"/>
        <v>5.166170370370371</v>
      </c>
      <c r="I91" s="152">
        <f t="shared" si="2"/>
        <v>3397.0669887407407</v>
      </c>
    </row>
    <row r="92" spans="1:9" ht="15" customHeight="1" x14ac:dyDescent="0.2">
      <c r="A92" s="160">
        <f>+A91+1</f>
        <v>4</v>
      </c>
      <c r="B92" s="514" t="s">
        <v>218</v>
      </c>
      <c r="C92" s="515"/>
      <c r="D92" s="150">
        <f>(7.5*8*2)+(3.5*4*24)+(8*2*3)+(5*2*4)</f>
        <v>544</v>
      </c>
      <c r="E92" s="151" t="s">
        <v>37</v>
      </c>
      <c r="F92" s="152">
        <v>21741.5</v>
      </c>
      <c r="G92" s="152">
        <f>F92*D92</f>
        <v>11827376</v>
      </c>
      <c r="H92" s="152">
        <f t="shared" si="1"/>
        <v>1.6104814814814814</v>
      </c>
      <c r="I92" s="152">
        <f t="shared" si="2"/>
        <v>876.10192592592591</v>
      </c>
    </row>
    <row r="93" spans="1:9" ht="15" customHeight="1" x14ac:dyDescent="0.2">
      <c r="A93" s="160">
        <f>+A92+1</f>
        <v>5</v>
      </c>
      <c r="B93" s="119" t="s">
        <v>219</v>
      </c>
      <c r="C93" s="164"/>
      <c r="D93" s="165">
        <f>0.05*D78</f>
        <v>7.2</v>
      </c>
      <c r="E93" s="166" t="s">
        <v>16</v>
      </c>
      <c r="F93" s="167">
        <v>1186535.8999999999</v>
      </c>
      <c r="G93" s="152">
        <f>F93*D93</f>
        <v>8543058.4800000004</v>
      </c>
      <c r="H93" s="152">
        <f t="shared" si="1"/>
        <v>87.891548148148146</v>
      </c>
      <c r="I93" s="152">
        <f t="shared" si="2"/>
        <v>632.81914666666671</v>
      </c>
    </row>
    <row r="94" spans="1:9" ht="15" customHeight="1" x14ac:dyDescent="0.2">
      <c r="A94" s="163"/>
      <c r="B94" s="119"/>
      <c r="C94" s="164"/>
      <c r="D94" s="165"/>
      <c r="E94" s="166"/>
      <c r="F94" s="167"/>
      <c r="G94" s="167"/>
      <c r="H94" s="167"/>
      <c r="I94" s="167"/>
    </row>
    <row r="95" spans="1:9" ht="15.75" x14ac:dyDescent="0.25">
      <c r="A95" s="153"/>
      <c r="B95" s="154"/>
      <c r="C95" s="157" t="s">
        <v>222</v>
      </c>
      <c r="D95" s="155"/>
      <c r="E95" s="423"/>
      <c r="F95" s="426"/>
      <c r="G95" s="424">
        <f>SUM(G89:G94)</f>
        <v>157215651.00999999</v>
      </c>
      <c r="H95" s="427"/>
      <c r="I95" s="427">
        <f>SUM(I88:I93)</f>
        <v>11645.603778518518</v>
      </c>
    </row>
    <row r="96" spans="1:9" ht="15" customHeight="1" x14ac:dyDescent="0.2">
      <c r="A96" s="142" t="s">
        <v>6</v>
      </c>
      <c r="B96" s="410" t="s">
        <v>503</v>
      </c>
      <c r="C96" s="144"/>
      <c r="D96" s="145"/>
      <c r="E96" s="146"/>
      <c r="F96" s="147"/>
      <c r="G96" s="147"/>
      <c r="H96" s="147"/>
      <c r="I96" s="147"/>
    </row>
    <row r="97" spans="1:9" ht="15" customHeight="1" x14ac:dyDescent="0.2">
      <c r="A97" s="148">
        <v>1</v>
      </c>
      <c r="B97" s="375" t="s">
        <v>231</v>
      </c>
      <c r="C97" s="149"/>
      <c r="D97" s="150">
        <f>0.15*0.2*100</f>
        <v>3</v>
      </c>
      <c r="E97" s="151" t="s">
        <v>16</v>
      </c>
      <c r="F97" s="152">
        <v>6912113.5335999997</v>
      </c>
      <c r="G97" s="152">
        <f t="shared" ref="G97:G102" si="3">F97*D97</f>
        <v>20736340.6008</v>
      </c>
      <c r="H97" s="152">
        <f t="shared" si="1"/>
        <v>512.00840989629626</v>
      </c>
      <c r="I97" s="152">
        <f t="shared" si="2"/>
        <v>1536.0252296888889</v>
      </c>
    </row>
    <row r="98" spans="1:9" ht="15" customHeight="1" x14ac:dyDescent="0.2">
      <c r="A98" s="148">
        <f>A97+1</f>
        <v>2</v>
      </c>
      <c r="B98" s="411" t="s">
        <v>495</v>
      </c>
      <c r="C98" s="149"/>
      <c r="D98" s="150">
        <f>0.15*0.15*3.5*10</f>
        <v>0.78749999999999998</v>
      </c>
      <c r="E98" s="151" t="s">
        <v>16</v>
      </c>
      <c r="F98" s="152">
        <v>8779844.2599999998</v>
      </c>
      <c r="G98" s="152">
        <f t="shared" si="3"/>
        <v>6914127.3547499999</v>
      </c>
      <c r="H98" s="152">
        <f t="shared" si="1"/>
        <v>650.35883407407403</v>
      </c>
      <c r="I98" s="152">
        <f t="shared" si="2"/>
        <v>512.15758183333332</v>
      </c>
    </row>
    <row r="99" spans="1:9" ht="15" customHeight="1" x14ac:dyDescent="0.2">
      <c r="A99" s="148">
        <f>A98+1</f>
        <v>3</v>
      </c>
      <c r="B99" s="1" t="s">
        <v>232</v>
      </c>
      <c r="C99" s="149"/>
      <c r="D99" s="150">
        <f>0.15*0.2*3.5*24</f>
        <v>2.52</v>
      </c>
      <c r="E99" s="151" t="s">
        <v>16</v>
      </c>
      <c r="F99" s="152">
        <v>8779844.2599999998</v>
      </c>
      <c r="G99" s="152">
        <f t="shared" si="3"/>
        <v>22125207.5352</v>
      </c>
      <c r="H99" s="152">
        <f t="shared" si="1"/>
        <v>650.35883407407403</v>
      </c>
      <c r="I99" s="152">
        <f t="shared" si="2"/>
        <v>1638.9042618666665</v>
      </c>
    </row>
    <row r="100" spans="1:9" ht="15" customHeight="1" x14ac:dyDescent="0.2">
      <c r="A100" s="148">
        <f>A99+1</f>
        <v>4</v>
      </c>
      <c r="B100" s="1" t="s">
        <v>233</v>
      </c>
      <c r="C100" s="149"/>
      <c r="D100" s="150">
        <f>0.15*0.15*84</f>
        <v>1.89</v>
      </c>
      <c r="E100" s="151" t="s">
        <v>16</v>
      </c>
      <c r="F100" s="152">
        <v>7988732.8664000006</v>
      </c>
      <c r="G100" s="152">
        <f t="shared" si="3"/>
        <v>15098705.117496001</v>
      </c>
      <c r="H100" s="152">
        <f t="shared" si="1"/>
        <v>591.75799010370372</v>
      </c>
      <c r="I100" s="152">
        <f t="shared" si="2"/>
        <v>1118.422601296</v>
      </c>
    </row>
    <row r="101" spans="1:9" ht="15" customHeight="1" x14ac:dyDescent="0.2">
      <c r="A101" s="148">
        <f>A100+1</f>
        <v>5</v>
      </c>
      <c r="B101" s="1" t="s">
        <v>234</v>
      </c>
      <c r="C101" s="149"/>
      <c r="D101" s="150">
        <f>0.15*0.2*100</f>
        <v>3</v>
      </c>
      <c r="E101" s="151" t="s">
        <v>16</v>
      </c>
      <c r="F101" s="152">
        <v>7863668.3664000006</v>
      </c>
      <c r="G101" s="152">
        <f t="shared" si="3"/>
        <v>23591005.099200003</v>
      </c>
      <c r="H101" s="152">
        <f t="shared" si="1"/>
        <v>582.49395306666668</v>
      </c>
      <c r="I101" s="152">
        <f t="shared" si="2"/>
        <v>1747.4818592000001</v>
      </c>
    </row>
    <row r="102" spans="1:9" ht="15" customHeight="1" x14ac:dyDescent="0.2">
      <c r="A102" s="148">
        <f>A101+1</f>
        <v>6</v>
      </c>
      <c r="B102" s="1" t="s">
        <v>235</v>
      </c>
      <c r="C102" s="149"/>
      <c r="D102" s="150">
        <f>0.15*0.2*13.43*2</f>
        <v>0.80579999999999996</v>
      </c>
      <c r="E102" s="151" t="s">
        <v>16</v>
      </c>
      <c r="F102" s="152">
        <v>9999582.6831999999</v>
      </c>
      <c r="G102" s="152">
        <f t="shared" si="3"/>
        <v>8057663.726122559</v>
      </c>
      <c r="H102" s="152">
        <f t="shared" si="1"/>
        <v>740.70982838518512</v>
      </c>
      <c r="I102" s="152">
        <f t="shared" si="2"/>
        <v>596.86397971278211</v>
      </c>
    </row>
    <row r="103" spans="1:9" ht="15" customHeight="1" x14ac:dyDescent="0.2">
      <c r="A103" s="163"/>
      <c r="B103" s="119"/>
      <c r="C103" s="164"/>
      <c r="D103" s="165"/>
      <c r="E103" s="166"/>
      <c r="F103" s="167"/>
      <c r="G103" s="167"/>
      <c r="H103" s="167"/>
      <c r="I103" s="167"/>
    </row>
    <row r="104" spans="1:9" ht="15.75" x14ac:dyDescent="0.25">
      <c r="A104" s="153"/>
      <c r="B104" s="154"/>
      <c r="C104" s="157" t="s">
        <v>236</v>
      </c>
      <c r="D104" s="155"/>
      <c r="E104" s="423"/>
      <c r="F104" s="426"/>
      <c r="G104" s="424">
        <f>SUM(G97:G103)</f>
        <v>96523049.433568567</v>
      </c>
      <c r="H104" s="427"/>
      <c r="I104" s="427">
        <f>SUM(I97:I102)</f>
        <v>7149.8555135976712</v>
      </c>
    </row>
    <row r="105" spans="1:9" ht="15" customHeight="1" x14ac:dyDescent="0.2">
      <c r="A105" s="169" t="s">
        <v>38</v>
      </c>
      <c r="B105" s="170" t="s">
        <v>186</v>
      </c>
      <c r="C105" s="171"/>
      <c r="D105" s="150"/>
      <c r="E105" s="151"/>
      <c r="F105" s="147"/>
      <c r="G105" s="147"/>
      <c r="H105" s="147"/>
      <c r="I105" s="147"/>
    </row>
    <row r="106" spans="1:9" s="178" customFormat="1" ht="15" customHeight="1" x14ac:dyDescent="0.2">
      <c r="A106" s="172">
        <v>1</v>
      </c>
      <c r="B106" s="173" t="s">
        <v>293</v>
      </c>
      <c r="C106" s="174"/>
      <c r="D106" s="175">
        <f>(16*9)-D109</f>
        <v>133.5</v>
      </c>
      <c r="E106" s="176" t="s">
        <v>23</v>
      </c>
      <c r="F106" s="177">
        <v>244132.9</v>
      </c>
      <c r="G106" s="152">
        <f>F106*D106</f>
        <v>32591742.149999999</v>
      </c>
      <c r="H106" s="152">
        <f t="shared" si="1"/>
        <v>18.083918518518519</v>
      </c>
      <c r="I106" s="152">
        <f t="shared" si="2"/>
        <v>2414.2031222222222</v>
      </c>
    </row>
    <row r="107" spans="1:9" s="178" customFormat="1" ht="15" customHeight="1" x14ac:dyDescent="0.2">
      <c r="A107" s="172">
        <f>A106+1</f>
        <v>2</v>
      </c>
      <c r="B107" s="173" t="s">
        <v>288</v>
      </c>
      <c r="C107" s="174"/>
      <c r="D107" s="175">
        <v>96</v>
      </c>
      <c r="E107" s="176" t="s">
        <v>50</v>
      </c>
      <c r="F107" s="177">
        <v>99632.5</v>
      </c>
      <c r="G107" s="152">
        <f>F107*D107</f>
        <v>9564720</v>
      </c>
      <c r="H107" s="152">
        <f t="shared" si="1"/>
        <v>7.3801851851851854</v>
      </c>
      <c r="I107" s="152">
        <f t="shared" si="2"/>
        <v>708.49777777777786</v>
      </c>
    </row>
    <row r="108" spans="1:9" s="178" customFormat="1" ht="15" customHeight="1" x14ac:dyDescent="0.2">
      <c r="A108" s="172">
        <f>A107+1</f>
        <v>3</v>
      </c>
      <c r="B108" s="173" t="s">
        <v>496</v>
      </c>
      <c r="C108" s="174"/>
      <c r="D108" s="175">
        <f>6.5*1.5*4</f>
        <v>39</v>
      </c>
      <c r="E108" s="176" t="s">
        <v>23</v>
      </c>
      <c r="F108" s="177">
        <v>334688.2</v>
      </c>
      <c r="G108" s="152">
        <f>F108*D108</f>
        <v>13052839.800000001</v>
      </c>
      <c r="H108" s="152">
        <f t="shared" si="1"/>
        <v>24.791718518518518</v>
      </c>
      <c r="I108" s="152">
        <f t="shared" si="2"/>
        <v>966.87702222222219</v>
      </c>
    </row>
    <row r="109" spans="1:9" s="178" customFormat="1" ht="15" customHeight="1" x14ac:dyDescent="0.2">
      <c r="A109" s="172">
        <v>4</v>
      </c>
      <c r="B109" s="414" t="s">
        <v>497</v>
      </c>
      <c r="C109" s="174"/>
      <c r="D109" s="175">
        <f>1.75*1.5*4</f>
        <v>10.5</v>
      </c>
      <c r="E109" s="176" t="s">
        <v>23</v>
      </c>
      <c r="F109" s="177">
        <v>312758.59999999998</v>
      </c>
      <c r="G109" s="152">
        <f>F109*D109</f>
        <v>3283965.3</v>
      </c>
      <c r="H109" s="152">
        <f t="shared" si="1"/>
        <v>23.167303703703702</v>
      </c>
      <c r="I109" s="152">
        <f t="shared" si="2"/>
        <v>243.25668888888887</v>
      </c>
    </row>
    <row r="110" spans="1:9" ht="15" customHeight="1" x14ac:dyDescent="0.2">
      <c r="A110" s="163"/>
      <c r="B110" s="119"/>
      <c r="C110" s="164"/>
      <c r="D110" s="165"/>
      <c r="E110" s="166"/>
      <c r="F110" s="167"/>
      <c r="G110" s="167"/>
      <c r="H110" s="167"/>
      <c r="I110" s="167"/>
    </row>
    <row r="111" spans="1:9" x14ac:dyDescent="0.2">
      <c r="A111" s="153"/>
      <c r="B111" s="154"/>
      <c r="C111" s="157" t="s">
        <v>248</v>
      </c>
      <c r="D111" s="155"/>
      <c r="E111" s="423"/>
      <c r="F111" s="425"/>
      <c r="G111" s="424">
        <f>SUM(G106:G110)</f>
        <v>58493267.25</v>
      </c>
      <c r="H111" s="427"/>
      <c r="I111" s="427">
        <f>SUM(I106:I109)</f>
        <v>4332.8346111111105</v>
      </c>
    </row>
    <row r="112" spans="1:9" x14ac:dyDescent="0.2">
      <c r="A112" s="142" t="s">
        <v>39</v>
      </c>
      <c r="B112" s="143" t="s">
        <v>254</v>
      </c>
      <c r="C112" s="144"/>
      <c r="D112" s="145"/>
      <c r="E112" s="146"/>
      <c r="F112" s="147"/>
      <c r="G112" s="147"/>
      <c r="H112" s="147"/>
      <c r="I112" s="147"/>
    </row>
    <row r="113" spans="1:9" x14ac:dyDescent="0.2">
      <c r="A113" s="148">
        <v>1</v>
      </c>
      <c r="B113" s="1" t="s">
        <v>137</v>
      </c>
      <c r="C113" s="149"/>
      <c r="D113" s="150">
        <f>(9*16)+(16+16)+(6+6+6+6)</f>
        <v>200</v>
      </c>
      <c r="E113" s="151" t="s">
        <v>23</v>
      </c>
      <c r="F113" s="152">
        <v>223704.8</v>
      </c>
      <c r="G113" s="152">
        <f>F113*D113</f>
        <v>44740960</v>
      </c>
      <c r="H113" s="152">
        <f t="shared" si="1"/>
        <v>16.570725925925924</v>
      </c>
      <c r="I113" s="152">
        <f t="shared" si="2"/>
        <v>3314.1451851851848</v>
      </c>
    </row>
    <row r="114" spans="1:9" x14ac:dyDescent="0.2">
      <c r="A114" s="163"/>
      <c r="B114" s="119"/>
      <c r="C114" s="164"/>
      <c r="D114" s="165"/>
      <c r="E114" s="166"/>
      <c r="F114" s="167"/>
      <c r="G114" s="167"/>
      <c r="H114" s="167"/>
      <c r="I114" s="167"/>
    </row>
    <row r="115" spans="1:9" ht="15.75" x14ac:dyDescent="0.25">
      <c r="A115" s="153"/>
      <c r="B115" s="154"/>
      <c r="C115" s="157" t="s">
        <v>256</v>
      </c>
      <c r="D115" s="155"/>
      <c r="E115" s="423"/>
      <c r="F115" s="426"/>
      <c r="G115" s="424">
        <f>SUM(G113:G114)</f>
        <v>44740960</v>
      </c>
      <c r="H115" s="427"/>
      <c r="I115" s="427">
        <f>I113</f>
        <v>3314.1451851851848</v>
      </c>
    </row>
    <row r="116" spans="1:9" x14ac:dyDescent="0.2">
      <c r="A116" s="142" t="s">
        <v>7</v>
      </c>
      <c r="B116" s="143" t="s">
        <v>255</v>
      </c>
      <c r="C116" s="144"/>
      <c r="D116" s="145"/>
      <c r="E116" s="146"/>
      <c r="F116" s="147"/>
      <c r="G116" s="147"/>
      <c r="H116" s="147"/>
      <c r="I116" s="147"/>
    </row>
    <row r="117" spans="1:9" x14ac:dyDescent="0.2">
      <c r="A117" s="148">
        <v>1</v>
      </c>
      <c r="B117" s="1" t="s">
        <v>243</v>
      </c>
      <c r="C117" s="171"/>
      <c r="D117" s="150"/>
      <c r="E117" s="151"/>
      <c r="F117" s="179">
        <v>0</v>
      </c>
      <c r="G117" s="152"/>
      <c r="H117" s="152"/>
      <c r="I117" s="152"/>
    </row>
    <row r="118" spans="1:9" x14ac:dyDescent="0.2">
      <c r="A118" s="148"/>
      <c r="B118" s="1" t="s">
        <v>132</v>
      </c>
      <c r="C118" s="171"/>
      <c r="D118" s="150">
        <f>((7.2*0.12*0.06)+(0.8*3*0.12*0.02))*2</f>
        <v>0.1152</v>
      </c>
      <c r="E118" s="151" t="s">
        <v>16</v>
      </c>
      <c r="F118" s="152">
        <v>10132314.5</v>
      </c>
      <c r="G118" s="152">
        <f>F118*D118</f>
        <v>1167242.6303999999</v>
      </c>
      <c r="H118" s="152">
        <f t="shared" si="1"/>
        <v>750.54181481481487</v>
      </c>
      <c r="I118" s="152">
        <f t="shared" si="2"/>
        <v>86.462417066666674</v>
      </c>
    </row>
    <row r="119" spans="1:9" x14ac:dyDescent="0.2">
      <c r="A119" s="148"/>
      <c r="B119" s="1" t="s">
        <v>139</v>
      </c>
      <c r="C119" s="171"/>
      <c r="D119" s="150">
        <f>((7*0.12*0.06)+(0.75*3*0.12*0.02))*4</f>
        <v>0.22319999999999998</v>
      </c>
      <c r="E119" s="151" t="s">
        <v>16</v>
      </c>
      <c r="F119" s="152">
        <v>10132314.5</v>
      </c>
      <c r="G119" s="152">
        <f>F119*D119</f>
        <v>2261532.5963999997</v>
      </c>
      <c r="H119" s="152">
        <f t="shared" si="1"/>
        <v>750.54181481481487</v>
      </c>
      <c r="I119" s="152">
        <f t="shared" si="2"/>
        <v>167.52093306666666</v>
      </c>
    </row>
    <row r="120" spans="1:9" x14ac:dyDescent="0.2">
      <c r="A120" s="148"/>
      <c r="B120" s="1" t="s">
        <v>126</v>
      </c>
      <c r="C120" s="171"/>
      <c r="D120" s="150">
        <f>((8.9*0.12*0.06)+(1.4*3*0.12*0.02))*2</f>
        <v>0.14832000000000001</v>
      </c>
      <c r="E120" s="151" t="s">
        <v>16</v>
      </c>
      <c r="F120" s="152">
        <v>10132314.5</v>
      </c>
      <c r="G120" s="152">
        <f>F120*D120</f>
        <v>1502824.8866400002</v>
      </c>
      <c r="H120" s="152">
        <f t="shared" si="1"/>
        <v>750.54181481481487</v>
      </c>
      <c r="I120" s="152">
        <f t="shared" si="2"/>
        <v>111.32036197333335</v>
      </c>
    </row>
    <row r="121" spans="1:9" x14ac:dyDescent="0.2">
      <c r="A121" s="148"/>
      <c r="B121" s="1" t="s">
        <v>127</v>
      </c>
      <c r="C121" s="171"/>
      <c r="D121" s="150">
        <f>((13*0.06*0.12)+(1.85*3*0.12*0.02))*8</f>
        <v>0.85536000000000001</v>
      </c>
      <c r="E121" s="151" t="str">
        <f>E120</f>
        <v>M3</v>
      </c>
      <c r="F121" s="152">
        <v>10132314.5</v>
      </c>
      <c r="G121" s="152">
        <f t="shared" ref="G121:G133" si="4">F121*D121</f>
        <v>8666776.5307199992</v>
      </c>
      <c r="H121" s="152">
        <f t="shared" si="1"/>
        <v>750.54181481481487</v>
      </c>
      <c r="I121" s="152">
        <f t="shared" si="2"/>
        <v>641.98344672000007</v>
      </c>
    </row>
    <row r="122" spans="1:9" x14ac:dyDescent="0.2">
      <c r="A122" s="148"/>
      <c r="B122" s="180"/>
      <c r="C122" s="171"/>
      <c r="D122" s="150"/>
      <c r="E122" s="151"/>
      <c r="F122" s="152"/>
      <c r="G122" s="152"/>
      <c r="H122" s="152"/>
      <c r="I122" s="152"/>
    </row>
    <row r="123" spans="1:9" x14ac:dyDescent="0.2">
      <c r="A123" s="148">
        <f>+A117+1</f>
        <v>2</v>
      </c>
      <c r="B123" s="9" t="s">
        <v>498</v>
      </c>
      <c r="C123" s="171"/>
      <c r="D123" s="150"/>
      <c r="E123" s="151"/>
      <c r="F123" s="152"/>
      <c r="G123" s="152"/>
      <c r="H123" s="152"/>
      <c r="I123" s="152"/>
    </row>
    <row r="124" spans="1:9" x14ac:dyDescent="0.2">
      <c r="A124" s="148"/>
      <c r="B124" s="415" t="s">
        <v>499</v>
      </c>
      <c r="C124" s="171"/>
      <c r="D124" s="150">
        <f>0.8*2.1*2</f>
        <v>3.3600000000000003</v>
      </c>
      <c r="E124" s="151" t="s">
        <v>23</v>
      </c>
      <c r="F124" s="152">
        <v>1035309</v>
      </c>
      <c r="G124" s="152">
        <f>F124*D124</f>
        <v>3478638.24</v>
      </c>
      <c r="H124" s="152">
        <f t="shared" si="1"/>
        <v>76.689555555555557</v>
      </c>
      <c r="I124" s="152">
        <f t="shared" si="2"/>
        <v>257.6769066666667</v>
      </c>
    </row>
    <row r="125" spans="1:9" x14ac:dyDescent="0.2">
      <c r="A125" s="148"/>
      <c r="B125" s="415" t="s">
        <v>500</v>
      </c>
      <c r="C125" s="171"/>
      <c r="D125" s="150">
        <f>0.75*2.1*4</f>
        <v>6.3000000000000007</v>
      </c>
      <c r="E125" s="151" t="s">
        <v>23</v>
      </c>
      <c r="F125" s="152">
        <v>1035309</v>
      </c>
      <c r="G125" s="152">
        <f>F125*D125</f>
        <v>6522446.7000000011</v>
      </c>
      <c r="H125" s="152">
        <f t="shared" si="1"/>
        <v>76.689555555555557</v>
      </c>
      <c r="I125" s="152">
        <f t="shared" si="2"/>
        <v>483.14420000000007</v>
      </c>
    </row>
    <row r="126" spans="1:9" x14ac:dyDescent="0.2">
      <c r="A126" s="148"/>
      <c r="B126" s="415" t="s">
        <v>501</v>
      </c>
      <c r="C126" s="171"/>
      <c r="D126" s="150">
        <f>0.65*2.1*2*2</f>
        <v>5.4600000000000009</v>
      </c>
      <c r="E126" s="151" t="s">
        <v>23</v>
      </c>
      <c r="F126" s="152">
        <v>1035309</v>
      </c>
      <c r="G126" s="152">
        <f t="shared" si="4"/>
        <v>5652787.1400000006</v>
      </c>
      <c r="H126" s="152">
        <f t="shared" si="1"/>
        <v>76.689555555555557</v>
      </c>
      <c r="I126" s="152">
        <f t="shared" si="2"/>
        <v>418.72497333333342</v>
      </c>
    </row>
    <row r="127" spans="1:9" x14ac:dyDescent="0.2">
      <c r="A127" s="212"/>
      <c r="B127" s="186" t="s">
        <v>290</v>
      </c>
      <c r="C127" s="213"/>
      <c r="D127" s="165">
        <f>1*0.6*2*8</f>
        <v>9.6</v>
      </c>
      <c r="E127" s="166" t="s">
        <v>23</v>
      </c>
      <c r="F127" s="167">
        <v>1035309</v>
      </c>
      <c r="G127" s="152">
        <f t="shared" si="4"/>
        <v>9938966.4000000004</v>
      </c>
      <c r="H127" s="152">
        <f t="shared" si="1"/>
        <v>76.689555555555557</v>
      </c>
      <c r="I127" s="152">
        <f t="shared" si="2"/>
        <v>736.21973333333335</v>
      </c>
    </row>
    <row r="128" spans="1:9" x14ac:dyDescent="0.2">
      <c r="A128" s="212"/>
      <c r="B128" s="186" t="s">
        <v>291</v>
      </c>
      <c r="C128" s="213"/>
      <c r="D128" s="165">
        <f>(0.65*1*8)+(0.6*1*2*8)</f>
        <v>14.8</v>
      </c>
      <c r="E128" s="166" t="s">
        <v>23</v>
      </c>
      <c r="F128" s="167">
        <v>164626</v>
      </c>
      <c r="G128" s="152">
        <f t="shared" si="4"/>
        <v>2436464.8000000003</v>
      </c>
      <c r="H128" s="152">
        <f t="shared" si="1"/>
        <v>12.194518518518519</v>
      </c>
      <c r="I128" s="152">
        <f t="shared" si="2"/>
        <v>180.4788740740741</v>
      </c>
    </row>
    <row r="129" spans="1:9" x14ac:dyDescent="0.2">
      <c r="A129" s="212"/>
      <c r="B129" s="186" t="s">
        <v>138</v>
      </c>
      <c r="C129" s="213"/>
      <c r="D129" s="165">
        <v>8</v>
      </c>
      <c r="E129" s="166" t="s">
        <v>100</v>
      </c>
      <c r="F129" s="167">
        <v>295869.2</v>
      </c>
      <c r="G129" s="152">
        <f t="shared" si="4"/>
        <v>2366953.6</v>
      </c>
      <c r="H129" s="152">
        <f t="shared" si="1"/>
        <v>21.916237037037039</v>
      </c>
      <c r="I129" s="152">
        <f t="shared" si="2"/>
        <v>175.32989629629631</v>
      </c>
    </row>
    <row r="130" spans="1:9" x14ac:dyDescent="0.2">
      <c r="A130" s="212"/>
      <c r="B130" s="407" t="s">
        <v>245</v>
      </c>
      <c r="C130" s="213"/>
      <c r="D130" s="165">
        <v>10</v>
      </c>
      <c r="E130" s="166" t="s">
        <v>100</v>
      </c>
      <c r="F130" s="167">
        <v>90792.9</v>
      </c>
      <c r="G130" s="152">
        <f t="shared" si="4"/>
        <v>907929</v>
      </c>
      <c r="H130" s="152">
        <f t="shared" si="1"/>
        <v>6.7253999999999996</v>
      </c>
      <c r="I130" s="152">
        <f t="shared" si="2"/>
        <v>67.253999999999991</v>
      </c>
    </row>
    <row r="131" spans="1:9" x14ac:dyDescent="0.2">
      <c r="A131" s="212"/>
      <c r="B131" s="186" t="s">
        <v>246</v>
      </c>
      <c r="C131" s="213"/>
      <c r="D131" s="165">
        <f>8*2</f>
        <v>16</v>
      </c>
      <c r="E131" s="166" t="s">
        <v>100</v>
      </c>
      <c r="F131" s="167">
        <v>104660.6</v>
      </c>
      <c r="G131" s="152">
        <f t="shared" si="4"/>
        <v>1674569.6</v>
      </c>
      <c r="H131" s="152">
        <f t="shared" si="1"/>
        <v>7.7526370370370374</v>
      </c>
      <c r="I131" s="152">
        <f t="shared" si="2"/>
        <v>124.0421925925926</v>
      </c>
    </row>
    <row r="132" spans="1:9" x14ac:dyDescent="0.2">
      <c r="A132" s="212"/>
      <c r="B132" s="186" t="s">
        <v>247</v>
      </c>
      <c r="C132" s="213"/>
      <c r="D132" s="165">
        <f>D131</f>
        <v>16</v>
      </c>
      <c r="E132" s="166" t="s">
        <v>22</v>
      </c>
      <c r="F132" s="167">
        <v>50582.400000000001</v>
      </c>
      <c r="G132" s="152">
        <f t="shared" si="4"/>
        <v>809318.40000000002</v>
      </c>
      <c r="H132" s="152">
        <f t="shared" si="1"/>
        <v>3.7468444444444446</v>
      </c>
      <c r="I132" s="152">
        <f t="shared" si="2"/>
        <v>59.949511111111114</v>
      </c>
    </row>
    <row r="133" spans="1:9" x14ac:dyDescent="0.2">
      <c r="A133" s="148"/>
      <c r="B133" s="186" t="s">
        <v>292</v>
      </c>
      <c r="C133" s="171"/>
      <c r="D133" s="150">
        <f>D132*2</f>
        <v>32</v>
      </c>
      <c r="E133" s="151" t="s">
        <v>100</v>
      </c>
      <c r="F133" s="152">
        <v>39882.699999999997</v>
      </c>
      <c r="G133" s="152">
        <f t="shared" si="4"/>
        <v>1276246.3999999999</v>
      </c>
      <c r="H133" s="152">
        <f t="shared" si="1"/>
        <v>2.9542740740740738</v>
      </c>
      <c r="I133" s="152">
        <f t="shared" si="2"/>
        <v>94.536770370370363</v>
      </c>
    </row>
    <row r="134" spans="1:9" x14ac:dyDescent="0.2">
      <c r="A134" s="163"/>
      <c r="B134" s="119"/>
      <c r="C134" s="164"/>
      <c r="D134" s="165"/>
      <c r="E134" s="166"/>
      <c r="F134" s="167"/>
      <c r="G134" s="167"/>
      <c r="H134" s="167"/>
      <c r="I134" s="167"/>
    </row>
    <row r="135" spans="1:9" ht="15.75" x14ac:dyDescent="0.25">
      <c r="A135" s="153"/>
      <c r="B135" s="154"/>
      <c r="C135" s="157" t="s">
        <v>278</v>
      </c>
      <c r="D135" s="155"/>
      <c r="E135" s="423"/>
      <c r="F135" s="426"/>
      <c r="G135" s="424">
        <f>SUM(G118:G134)</f>
        <v>48662696.924159996</v>
      </c>
      <c r="H135" s="427"/>
      <c r="I135" s="427">
        <f>SUM(I118:I133)</f>
        <v>3604.6442166044444</v>
      </c>
    </row>
    <row r="136" spans="1:9" x14ac:dyDescent="0.2">
      <c r="A136" s="142" t="s">
        <v>40</v>
      </c>
      <c r="B136" s="143" t="s">
        <v>189</v>
      </c>
      <c r="C136" s="159"/>
      <c r="D136" s="145"/>
      <c r="E136" s="146"/>
      <c r="F136" s="147"/>
      <c r="G136" s="147"/>
      <c r="H136" s="147"/>
      <c r="I136" s="147"/>
    </row>
    <row r="137" spans="1:9" x14ac:dyDescent="0.2">
      <c r="A137" s="148" t="s">
        <v>31</v>
      </c>
      <c r="B137" s="376" t="s">
        <v>267</v>
      </c>
      <c r="C137" s="149"/>
      <c r="D137" s="150">
        <f>D91</f>
        <v>657.56</v>
      </c>
      <c r="E137" s="151" t="s">
        <v>23</v>
      </c>
      <c r="F137" s="152">
        <v>29327.1</v>
      </c>
      <c r="G137" s="152">
        <f>F137*D137</f>
        <v>19284327.875999998</v>
      </c>
      <c r="H137" s="152">
        <f t="shared" si="1"/>
        <v>2.1723777777777777</v>
      </c>
      <c r="I137" s="152">
        <f t="shared" si="2"/>
        <v>1428.4687315555555</v>
      </c>
    </row>
    <row r="138" spans="1:9" x14ac:dyDescent="0.2">
      <c r="A138" s="148" t="s">
        <v>32</v>
      </c>
      <c r="B138" s="1" t="s">
        <v>268</v>
      </c>
      <c r="C138" s="149"/>
      <c r="D138" s="150">
        <f>D113</f>
        <v>200</v>
      </c>
      <c r="E138" s="151" t="s">
        <v>23</v>
      </c>
      <c r="F138" s="152">
        <v>29327.1</v>
      </c>
      <c r="G138" s="152">
        <f>F138*D138</f>
        <v>5865420</v>
      </c>
      <c r="H138" s="152">
        <f t="shared" ref="H138:H168" si="5">F138/13500</f>
        <v>2.1723777777777777</v>
      </c>
      <c r="I138" s="152">
        <f t="shared" ref="I138:I168" si="6">H138*D138</f>
        <v>434.47555555555556</v>
      </c>
    </row>
    <row r="139" spans="1:9" x14ac:dyDescent="0.2">
      <c r="A139" s="148" t="s">
        <v>87</v>
      </c>
      <c r="B139" s="119" t="s">
        <v>269</v>
      </c>
      <c r="C139" s="164"/>
      <c r="D139" s="165">
        <v>82.76</v>
      </c>
      <c r="E139" s="166" t="s">
        <v>23</v>
      </c>
      <c r="F139" s="167">
        <v>65923</v>
      </c>
      <c r="G139" s="152">
        <f>F139*D139</f>
        <v>5455787.4800000004</v>
      </c>
      <c r="H139" s="152">
        <f t="shared" si="5"/>
        <v>4.8831851851851855</v>
      </c>
      <c r="I139" s="152">
        <f t="shared" si="6"/>
        <v>404.13240592592598</v>
      </c>
    </row>
    <row r="140" spans="1:9" x14ac:dyDescent="0.2">
      <c r="A140" s="163"/>
      <c r="B140" s="119"/>
      <c r="C140" s="164"/>
      <c r="D140" s="165"/>
      <c r="E140" s="166"/>
      <c r="F140" s="167"/>
      <c r="G140" s="167"/>
      <c r="H140" s="167"/>
      <c r="I140" s="167"/>
    </row>
    <row r="141" spans="1:9" ht="15.75" x14ac:dyDescent="0.25">
      <c r="A141" s="153"/>
      <c r="B141" s="154"/>
      <c r="C141" s="157" t="s">
        <v>119</v>
      </c>
      <c r="D141" s="155"/>
      <c r="E141" s="423"/>
      <c r="F141" s="426"/>
      <c r="G141" s="424">
        <f>SUM(G137:G140)</f>
        <v>30605535.355999999</v>
      </c>
      <c r="H141" s="427"/>
      <c r="I141" s="427">
        <f>SUM(I137:I139)</f>
        <v>2267.0766930370369</v>
      </c>
    </row>
    <row r="142" spans="1:9" ht="15" customHeight="1" x14ac:dyDescent="0.2">
      <c r="A142" s="142" t="s">
        <v>41</v>
      </c>
      <c r="B142" s="143" t="s">
        <v>190</v>
      </c>
      <c r="C142" s="159"/>
      <c r="D142" s="145"/>
      <c r="E142" s="146"/>
      <c r="F142" s="147"/>
      <c r="G142" s="147"/>
      <c r="H142" s="147"/>
      <c r="I142" s="147"/>
    </row>
    <row r="143" spans="1:9" ht="15" customHeight="1" x14ac:dyDescent="0.2">
      <c r="A143" s="148">
        <v>1</v>
      </c>
      <c r="B143" s="411" t="s">
        <v>502</v>
      </c>
      <c r="C143" s="149"/>
      <c r="D143" s="150">
        <v>14</v>
      </c>
      <c r="E143" s="151" t="s">
        <v>100</v>
      </c>
      <c r="F143" s="152">
        <v>82500</v>
      </c>
      <c r="G143" s="152">
        <f t="shared" ref="G143:G148" si="7">F143*D143</f>
        <v>1155000</v>
      </c>
      <c r="H143" s="152">
        <f t="shared" si="5"/>
        <v>6.1111111111111107</v>
      </c>
      <c r="I143" s="152">
        <f t="shared" si="6"/>
        <v>85.555555555555543</v>
      </c>
    </row>
    <row r="144" spans="1:9" ht="15" customHeight="1" x14ac:dyDescent="0.2">
      <c r="A144" s="148">
        <v>2</v>
      </c>
      <c r="B144" s="375" t="s">
        <v>270</v>
      </c>
      <c r="C144" s="149"/>
      <c r="D144" s="150">
        <v>6</v>
      </c>
      <c r="E144" s="408" t="s">
        <v>504</v>
      </c>
      <c r="F144" s="152">
        <v>38500</v>
      </c>
      <c r="G144" s="152">
        <f t="shared" si="7"/>
        <v>231000</v>
      </c>
      <c r="H144" s="152">
        <f t="shared" si="5"/>
        <v>2.8518518518518516</v>
      </c>
      <c r="I144" s="152">
        <f t="shared" si="6"/>
        <v>17.111111111111111</v>
      </c>
    </row>
    <row r="145" spans="1:9" ht="15" customHeight="1" x14ac:dyDescent="0.2">
      <c r="A145" s="148">
        <f>A144+1</f>
        <v>3</v>
      </c>
      <c r="B145" s="1" t="s">
        <v>271</v>
      </c>
      <c r="C145" s="149"/>
      <c r="D145" s="150">
        <v>6</v>
      </c>
      <c r="E145" s="408" t="s">
        <v>504</v>
      </c>
      <c r="F145" s="152">
        <v>38500</v>
      </c>
      <c r="G145" s="152">
        <f t="shared" si="7"/>
        <v>231000</v>
      </c>
      <c r="H145" s="152">
        <f t="shared" si="5"/>
        <v>2.8518518518518516</v>
      </c>
      <c r="I145" s="152">
        <f t="shared" si="6"/>
        <v>17.111111111111111</v>
      </c>
    </row>
    <row r="146" spans="1:9" ht="15" customHeight="1" x14ac:dyDescent="0.2">
      <c r="A146" s="148">
        <f>A145+1</f>
        <v>4</v>
      </c>
      <c r="B146" s="376" t="s">
        <v>272</v>
      </c>
      <c r="C146" s="149"/>
      <c r="D146" s="150">
        <f>D145+D144</f>
        <v>12</v>
      </c>
      <c r="E146" s="408" t="s">
        <v>504</v>
      </c>
      <c r="F146" s="152">
        <v>275000</v>
      </c>
      <c r="G146" s="152">
        <f t="shared" si="7"/>
        <v>3300000</v>
      </c>
      <c r="H146" s="152">
        <f t="shared" si="5"/>
        <v>20.37037037037037</v>
      </c>
      <c r="I146" s="152">
        <f t="shared" si="6"/>
        <v>244.44444444444446</v>
      </c>
    </row>
    <row r="147" spans="1:9" ht="15" customHeight="1" x14ac:dyDescent="0.2">
      <c r="A147" s="148">
        <f>A146+1</f>
        <v>5</v>
      </c>
      <c r="B147" s="1" t="s">
        <v>273</v>
      </c>
      <c r="C147" s="149"/>
      <c r="D147" s="150">
        <v>1</v>
      </c>
      <c r="E147" s="151" t="s">
        <v>100</v>
      </c>
      <c r="F147" s="152">
        <v>550000</v>
      </c>
      <c r="G147" s="152">
        <f t="shared" si="7"/>
        <v>550000</v>
      </c>
      <c r="H147" s="152">
        <f t="shared" si="5"/>
        <v>40.74074074074074</v>
      </c>
      <c r="I147" s="152">
        <f t="shared" si="6"/>
        <v>40.74074074074074</v>
      </c>
    </row>
    <row r="148" spans="1:9" ht="15" customHeight="1" x14ac:dyDescent="0.2">
      <c r="A148" s="148">
        <f>A147+1</f>
        <v>6</v>
      </c>
      <c r="B148" s="1" t="s">
        <v>274</v>
      </c>
      <c r="C148" s="149"/>
      <c r="D148" s="150">
        <v>1</v>
      </c>
      <c r="E148" s="151" t="s">
        <v>100</v>
      </c>
      <c r="F148" s="152">
        <v>330000</v>
      </c>
      <c r="G148" s="152">
        <f t="shared" si="7"/>
        <v>330000</v>
      </c>
      <c r="H148" s="152">
        <f t="shared" si="5"/>
        <v>24.444444444444443</v>
      </c>
      <c r="I148" s="152">
        <f t="shared" si="6"/>
        <v>24.444444444444443</v>
      </c>
    </row>
    <row r="149" spans="1:9" ht="15" customHeight="1" x14ac:dyDescent="0.2">
      <c r="A149" s="163"/>
      <c r="B149" s="119"/>
      <c r="C149" s="164"/>
      <c r="D149" s="165"/>
      <c r="E149" s="166"/>
      <c r="F149" s="167"/>
      <c r="G149" s="167"/>
      <c r="H149" s="167"/>
      <c r="I149" s="167"/>
    </row>
    <row r="150" spans="1:9" ht="15" customHeight="1" x14ac:dyDescent="0.25">
      <c r="A150" s="153"/>
      <c r="B150" s="154"/>
      <c r="C150" s="157" t="s">
        <v>280</v>
      </c>
      <c r="D150" s="155"/>
      <c r="E150" s="423"/>
      <c r="F150" s="426"/>
      <c r="G150" s="424">
        <f>SUM(G143:G149)</f>
        <v>5797000</v>
      </c>
      <c r="H150" s="427"/>
      <c r="I150" s="427">
        <f>SUM(I143:I148)</f>
        <v>429.40740740740745</v>
      </c>
    </row>
    <row r="151" spans="1:9" x14ac:dyDescent="0.2">
      <c r="A151" s="142" t="s">
        <v>54</v>
      </c>
      <c r="B151" s="143" t="s">
        <v>199</v>
      </c>
      <c r="C151" s="144"/>
      <c r="D151" s="145"/>
      <c r="E151" s="146"/>
      <c r="F151" s="147"/>
      <c r="G151" s="147"/>
      <c r="H151" s="147"/>
      <c r="I151" s="147"/>
    </row>
    <row r="152" spans="1:9" x14ac:dyDescent="0.2">
      <c r="A152" s="160">
        <v>1</v>
      </c>
      <c r="B152" s="411" t="s">
        <v>468</v>
      </c>
      <c r="C152" s="149"/>
      <c r="D152" s="150">
        <v>3</v>
      </c>
      <c r="E152" s="151" t="s">
        <v>82</v>
      </c>
      <c r="F152" s="152">
        <v>881707.2</v>
      </c>
      <c r="G152" s="152">
        <f>F152*D152</f>
        <v>2645121.5999999996</v>
      </c>
      <c r="H152" s="152">
        <f t="shared" si="5"/>
        <v>65.31164444444444</v>
      </c>
      <c r="I152" s="152">
        <f t="shared" si="6"/>
        <v>195.93493333333333</v>
      </c>
    </row>
    <row r="153" spans="1:9" x14ac:dyDescent="0.2">
      <c r="A153" s="160">
        <f>A152+1</f>
        <v>2</v>
      </c>
      <c r="B153" s="411" t="s">
        <v>133</v>
      </c>
      <c r="C153" s="149"/>
      <c r="D153" s="150">
        <v>1</v>
      </c>
      <c r="E153" s="151" t="s">
        <v>82</v>
      </c>
      <c r="F153" s="152">
        <v>5500000</v>
      </c>
      <c r="G153" s="152">
        <f>F153*D153</f>
        <v>5500000</v>
      </c>
      <c r="H153" s="152">
        <f t="shared" si="5"/>
        <v>407.40740740740739</v>
      </c>
      <c r="I153" s="152">
        <f t="shared" si="6"/>
        <v>407.40740740740739</v>
      </c>
    </row>
    <row r="154" spans="1:9" x14ac:dyDescent="0.2">
      <c r="A154" s="160">
        <f t="shared" ref="A154:A161" si="8">A153+1</f>
        <v>3</v>
      </c>
      <c r="B154" s="411" t="s">
        <v>505</v>
      </c>
      <c r="C154" s="149"/>
      <c r="D154" s="150">
        <v>1</v>
      </c>
      <c r="E154" s="151" t="s">
        <v>82</v>
      </c>
      <c r="F154" s="152">
        <v>2310000</v>
      </c>
      <c r="G154" s="152">
        <f t="shared" ref="G154:G161" si="9">F154*D154</f>
        <v>2310000</v>
      </c>
      <c r="H154" s="152">
        <f t="shared" si="5"/>
        <v>171.11111111111111</v>
      </c>
      <c r="I154" s="152">
        <f t="shared" si="6"/>
        <v>171.11111111111111</v>
      </c>
    </row>
    <row r="155" spans="1:9" x14ac:dyDescent="0.2">
      <c r="A155" s="160">
        <f t="shared" si="8"/>
        <v>4</v>
      </c>
      <c r="B155" s="411" t="s">
        <v>506</v>
      </c>
      <c r="C155" s="149"/>
      <c r="D155" s="150">
        <v>1</v>
      </c>
      <c r="E155" s="151" t="str">
        <f>E154</f>
        <v>Unit</v>
      </c>
      <c r="F155" s="152">
        <v>6380000</v>
      </c>
      <c r="G155" s="152">
        <f t="shared" si="9"/>
        <v>6380000</v>
      </c>
      <c r="H155" s="152">
        <f t="shared" si="5"/>
        <v>472.59259259259261</v>
      </c>
      <c r="I155" s="152">
        <f t="shared" si="6"/>
        <v>472.59259259259261</v>
      </c>
    </row>
    <row r="156" spans="1:9" x14ac:dyDescent="0.2">
      <c r="A156" s="160">
        <f t="shared" si="8"/>
        <v>5</v>
      </c>
      <c r="B156" s="411" t="s">
        <v>507</v>
      </c>
      <c r="C156" s="149"/>
      <c r="D156" s="150">
        <v>1</v>
      </c>
      <c r="E156" s="151" t="str">
        <f>E155</f>
        <v>Unit</v>
      </c>
      <c r="F156" s="152">
        <v>825000</v>
      </c>
      <c r="G156" s="152">
        <f t="shared" si="9"/>
        <v>825000</v>
      </c>
      <c r="H156" s="152">
        <f t="shared" si="5"/>
        <v>61.111111111111114</v>
      </c>
      <c r="I156" s="152">
        <f t="shared" si="6"/>
        <v>61.111111111111114</v>
      </c>
    </row>
    <row r="157" spans="1:9" x14ac:dyDescent="0.2">
      <c r="A157" s="160">
        <f t="shared" si="8"/>
        <v>6</v>
      </c>
      <c r="B157" s="411" t="s">
        <v>508</v>
      </c>
      <c r="C157" s="149"/>
      <c r="D157" s="150">
        <v>15</v>
      </c>
      <c r="E157" s="151" t="s">
        <v>37</v>
      </c>
      <c r="F157" s="152">
        <v>102652</v>
      </c>
      <c r="G157" s="152">
        <f t="shared" si="9"/>
        <v>1539780</v>
      </c>
      <c r="H157" s="152">
        <f t="shared" si="5"/>
        <v>7.6038518518518519</v>
      </c>
      <c r="I157" s="152">
        <f t="shared" si="6"/>
        <v>114.05777777777777</v>
      </c>
    </row>
    <row r="158" spans="1:9" x14ac:dyDescent="0.2">
      <c r="A158" s="160">
        <f t="shared" si="8"/>
        <v>7</v>
      </c>
      <c r="B158" s="411" t="s">
        <v>509</v>
      </c>
      <c r="C158" s="149"/>
      <c r="D158" s="150">
        <v>25</v>
      </c>
      <c r="E158" s="151" t="str">
        <f>E157</f>
        <v>M'</v>
      </c>
      <c r="F158" s="152">
        <v>70265.8</v>
      </c>
      <c r="G158" s="152">
        <f t="shared" si="9"/>
        <v>1756645</v>
      </c>
      <c r="H158" s="152">
        <f t="shared" si="5"/>
        <v>5.2048740740740742</v>
      </c>
      <c r="I158" s="152">
        <f t="shared" si="6"/>
        <v>130.12185185185186</v>
      </c>
    </row>
    <row r="159" spans="1:9" x14ac:dyDescent="0.2">
      <c r="A159" s="160">
        <f t="shared" si="8"/>
        <v>8</v>
      </c>
      <c r="B159" s="411" t="s">
        <v>510</v>
      </c>
      <c r="C159" s="149"/>
      <c r="D159" s="150">
        <v>4</v>
      </c>
      <c r="E159" s="151" t="str">
        <f>E158</f>
        <v>M'</v>
      </c>
      <c r="F159" s="152">
        <v>61795.8</v>
      </c>
      <c r="G159" s="152">
        <f t="shared" si="9"/>
        <v>247183.2</v>
      </c>
      <c r="H159" s="152">
        <f t="shared" si="5"/>
        <v>4.577466666666667</v>
      </c>
      <c r="I159" s="152">
        <f t="shared" si="6"/>
        <v>18.309866666666668</v>
      </c>
    </row>
    <row r="160" spans="1:9" x14ac:dyDescent="0.2">
      <c r="A160" s="160">
        <f t="shared" si="8"/>
        <v>9</v>
      </c>
      <c r="B160" s="1" t="s">
        <v>120</v>
      </c>
      <c r="C160" s="149"/>
      <c r="D160" s="150">
        <v>4</v>
      </c>
      <c r="E160" s="151" t="s">
        <v>22</v>
      </c>
      <c r="F160" s="152">
        <v>82507.7</v>
      </c>
      <c r="G160" s="152">
        <f t="shared" si="9"/>
        <v>330030.8</v>
      </c>
      <c r="H160" s="152">
        <f t="shared" si="5"/>
        <v>6.1116814814814813</v>
      </c>
      <c r="I160" s="152">
        <f t="shared" si="6"/>
        <v>24.446725925925925</v>
      </c>
    </row>
    <row r="161" spans="1:9" x14ac:dyDescent="0.2">
      <c r="A161" s="160">
        <f t="shared" si="8"/>
        <v>10</v>
      </c>
      <c r="B161" s="416" t="s">
        <v>353</v>
      </c>
      <c r="C161" s="149"/>
      <c r="D161" s="150">
        <v>4</v>
      </c>
      <c r="E161" s="151" t="str">
        <f>E160</f>
        <v>Bh</v>
      </c>
      <c r="F161" s="152">
        <v>82910.3</v>
      </c>
      <c r="G161" s="152">
        <f t="shared" si="9"/>
        <v>331641.2</v>
      </c>
      <c r="H161" s="152">
        <f t="shared" si="5"/>
        <v>6.1415037037037044</v>
      </c>
      <c r="I161" s="152">
        <f t="shared" si="6"/>
        <v>24.566014814814817</v>
      </c>
    </row>
    <row r="162" spans="1:9" x14ac:dyDescent="0.2">
      <c r="A162" s="163"/>
      <c r="B162" s="119"/>
      <c r="C162" s="164"/>
      <c r="D162" s="165"/>
      <c r="E162" s="166"/>
      <c r="F162" s="167"/>
      <c r="G162" s="167"/>
      <c r="H162" s="167"/>
      <c r="I162" s="167"/>
    </row>
    <row r="163" spans="1:9" ht="15.75" x14ac:dyDescent="0.25">
      <c r="A163" s="153"/>
      <c r="B163" s="154"/>
      <c r="C163" s="157" t="s">
        <v>281</v>
      </c>
      <c r="D163" s="155"/>
      <c r="E163" s="423"/>
      <c r="F163" s="426"/>
      <c r="G163" s="424">
        <f>SUM(G152:G162)</f>
        <v>21865401.800000001</v>
      </c>
      <c r="H163" s="427"/>
      <c r="I163" s="427">
        <f>SUM(I152:I162)</f>
        <v>1619.6593925925924</v>
      </c>
    </row>
    <row r="164" spans="1:9" x14ac:dyDescent="0.2">
      <c r="A164" s="142" t="s">
        <v>55</v>
      </c>
      <c r="B164" s="143" t="s">
        <v>191</v>
      </c>
      <c r="C164" s="144"/>
      <c r="D164" s="145"/>
      <c r="E164" s="146"/>
      <c r="F164" s="147"/>
      <c r="G164" s="147"/>
      <c r="H164" s="147"/>
      <c r="I164" s="147"/>
    </row>
    <row r="165" spans="1:9" s="185" customFormat="1" x14ac:dyDescent="0.2">
      <c r="A165" s="181">
        <v>1</v>
      </c>
      <c r="B165" s="9" t="s">
        <v>275</v>
      </c>
      <c r="C165" s="182"/>
      <c r="D165" s="183">
        <f>6.09*18*2</f>
        <v>219.24</v>
      </c>
      <c r="E165" s="184" t="s">
        <v>23</v>
      </c>
      <c r="F165" s="161">
        <v>271591.09999999998</v>
      </c>
      <c r="G165" s="152">
        <f>F165*D165</f>
        <v>59543632.763999999</v>
      </c>
      <c r="H165" s="152">
        <f t="shared" si="5"/>
        <v>20.117859259259259</v>
      </c>
      <c r="I165" s="152">
        <f t="shared" si="6"/>
        <v>4410.6394639999999</v>
      </c>
    </row>
    <row r="166" spans="1:9" s="185" customFormat="1" x14ac:dyDescent="0.2">
      <c r="A166" s="181">
        <f>A165+1</f>
        <v>2</v>
      </c>
      <c r="B166" s="186" t="s">
        <v>276</v>
      </c>
      <c r="C166" s="187"/>
      <c r="D166" s="188">
        <f>D165</f>
        <v>219.24</v>
      </c>
      <c r="E166" s="189" t="s">
        <v>37</v>
      </c>
      <c r="F166" s="190">
        <v>177871.1</v>
      </c>
      <c r="G166" s="152">
        <f>F166*D166</f>
        <v>38996459.964000002</v>
      </c>
      <c r="H166" s="152">
        <f t="shared" si="5"/>
        <v>13.175637037037037</v>
      </c>
      <c r="I166" s="152">
        <f t="shared" si="6"/>
        <v>2888.6266639999999</v>
      </c>
    </row>
    <row r="167" spans="1:9" s="185" customFormat="1" x14ac:dyDescent="0.2">
      <c r="A167" s="181">
        <f>A166+1</f>
        <v>3</v>
      </c>
      <c r="B167" s="186" t="s">
        <v>277</v>
      </c>
      <c r="C167" s="187"/>
      <c r="D167" s="188">
        <v>18</v>
      </c>
      <c r="E167" s="189" t="s">
        <v>37</v>
      </c>
      <c r="F167" s="190">
        <v>115119.4</v>
      </c>
      <c r="G167" s="152">
        <f>F167*D167</f>
        <v>2072149.2</v>
      </c>
      <c r="H167" s="152">
        <f t="shared" si="5"/>
        <v>8.5273629629629628</v>
      </c>
      <c r="I167" s="152">
        <f t="shared" si="6"/>
        <v>153.49253333333334</v>
      </c>
    </row>
    <row r="168" spans="1:9" s="185" customFormat="1" x14ac:dyDescent="0.2">
      <c r="A168" s="181">
        <f>A167+1</f>
        <v>4</v>
      </c>
      <c r="B168" s="186" t="s">
        <v>121</v>
      </c>
      <c r="C168" s="187"/>
      <c r="D168" s="188">
        <f>12+12+18+18</f>
        <v>60</v>
      </c>
      <c r="E168" s="189" t="str">
        <f>E166</f>
        <v>M'</v>
      </c>
      <c r="F168" s="190">
        <v>60500</v>
      </c>
      <c r="G168" s="152">
        <f>F168*D168</f>
        <v>3630000</v>
      </c>
      <c r="H168" s="152">
        <f t="shared" si="5"/>
        <v>4.4814814814814818</v>
      </c>
      <c r="I168" s="152">
        <f t="shared" si="6"/>
        <v>268.88888888888891</v>
      </c>
    </row>
    <row r="169" spans="1:9" x14ac:dyDescent="0.2">
      <c r="A169" s="163"/>
      <c r="B169" s="119"/>
      <c r="C169" s="164"/>
      <c r="D169" s="165"/>
      <c r="E169" s="166"/>
      <c r="F169" s="167"/>
      <c r="G169" s="161"/>
      <c r="H169" s="167"/>
      <c r="I169" s="161"/>
    </row>
    <row r="170" spans="1:9" ht="15.75" thickBot="1" x14ac:dyDescent="0.25">
      <c r="A170" s="153"/>
      <c r="B170" s="154"/>
      <c r="C170" s="157" t="s">
        <v>512</v>
      </c>
      <c r="D170" s="155"/>
      <c r="E170" s="156"/>
      <c r="F170" s="157"/>
      <c r="G170" s="429">
        <f>SUM(G165:G169)</f>
        <v>104242241.928</v>
      </c>
      <c r="H170" s="430"/>
      <c r="I170" s="429">
        <f>SUM(I165:I169)</f>
        <v>7721.6475502222211</v>
      </c>
    </row>
    <row r="171" spans="1:9" ht="15.75" thickTop="1" x14ac:dyDescent="0.2">
      <c r="A171" s="191"/>
      <c r="B171" s="192"/>
      <c r="C171" s="192"/>
      <c r="D171" s="192"/>
      <c r="E171" s="192"/>
      <c r="F171" s="192"/>
      <c r="G171" s="428"/>
    </row>
  </sheetData>
  <mergeCells count="16">
    <mergeCell ref="B92:C92"/>
    <mergeCell ref="E31:G31"/>
    <mergeCell ref="A1:G1"/>
    <mergeCell ref="A2:G2"/>
    <mergeCell ref="A8:A9"/>
    <mergeCell ref="B8:C9"/>
    <mergeCell ref="D8:E9"/>
    <mergeCell ref="A70:A71"/>
    <mergeCell ref="B70:C71"/>
    <mergeCell ref="D70:E71"/>
    <mergeCell ref="E32:G32"/>
    <mergeCell ref="E33:G33"/>
    <mergeCell ref="E34:G34"/>
    <mergeCell ref="E36:G36"/>
    <mergeCell ref="E38:G38"/>
    <mergeCell ref="A65:G65"/>
  </mergeCells>
  <printOptions horizontalCentered="1" verticalCentered="1"/>
  <pageMargins left="0.5" right="0.25" top="0.25" bottom="0.25" header="0.5" footer="0.5"/>
  <pageSetup paperSize="9" scale="85" orientation="portrait" horizontalDpi="4294967293" verticalDpi="4294967293" r:id="rId1"/>
  <headerFooter alignWithMargins="0"/>
  <rowBreaks count="6" manualBreakCount="6">
    <brk id="399" max="65535" man="1"/>
    <brk id="456" max="65535" man="1"/>
    <brk id="477" max="65535" man="1"/>
    <brk id="506" max="65535" man="1"/>
    <brk id="555" max="65535" man="1"/>
    <brk id="621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0000"/>
  </sheetPr>
  <dimension ref="A1:I152"/>
  <sheetViews>
    <sheetView showGridLines="0" defaultGridColor="0" colorId="22" zoomScaleNormal="100" zoomScaleSheetLayoutView="100" workbookViewId="0">
      <selection activeCell="D14" sqref="D14"/>
    </sheetView>
  </sheetViews>
  <sheetFormatPr defaultColWidth="11.42578125" defaultRowHeight="15" x14ac:dyDescent="0.2"/>
  <cols>
    <col min="1" max="1" width="5.5703125" style="112" customWidth="1"/>
    <col min="2" max="2" width="13.85546875" style="112" customWidth="1"/>
    <col min="3" max="3" width="33" style="112" customWidth="1"/>
    <col min="4" max="4" width="7.85546875" style="112" customWidth="1"/>
    <col min="5" max="5" width="9.7109375" style="194" customWidth="1"/>
    <col min="6" max="6" width="16.5703125" style="112" customWidth="1"/>
    <col min="7" max="7" width="20.85546875" style="112" customWidth="1"/>
    <col min="8" max="8" width="14" style="112" bestFit="1" customWidth="1"/>
    <col min="9" max="9" width="12.42578125" style="112" bestFit="1" customWidth="1"/>
    <col min="10" max="16384" width="11.42578125" style="112"/>
  </cols>
  <sheetData>
    <row r="1" spans="1:8" ht="21" thickTop="1" x14ac:dyDescent="0.3">
      <c r="A1" s="506" t="s">
        <v>486</v>
      </c>
      <c r="B1" s="507"/>
      <c r="C1" s="507"/>
      <c r="D1" s="507"/>
      <c r="E1" s="507"/>
      <c r="F1" s="507"/>
      <c r="G1" s="507"/>
      <c r="H1" s="441"/>
    </row>
    <row r="2" spans="1:8" ht="15.95" customHeight="1" x14ac:dyDescent="0.25">
      <c r="A2" s="525" t="s">
        <v>516</v>
      </c>
      <c r="B2" s="516"/>
      <c r="C2" s="516"/>
      <c r="D2" s="516"/>
      <c r="E2" s="516"/>
      <c r="F2" s="516"/>
      <c r="G2" s="516"/>
      <c r="H2" s="441"/>
    </row>
    <row r="3" spans="1:8" ht="15.95" customHeight="1" x14ac:dyDescent="0.2">
      <c r="A3" s="113"/>
      <c r="B3" s="96"/>
      <c r="C3" s="96"/>
      <c r="D3" s="96"/>
      <c r="E3" s="96"/>
      <c r="F3" s="96"/>
      <c r="G3" s="96"/>
      <c r="H3" s="441"/>
    </row>
    <row r="4" spans="1:8" ht="15.95" customHeight="1" x14ac:dyDescent="0.2">
      <c r="A4" s="406" t="s">
        <v>152</v>
      </c>
      <c r="B4" s="96"/>
      <c r="C4" s="413" t="s">
        <v>518</v>
      </c>
      <c r="D4" s="96"/>
      <c r="E4" s="96"/>
      <c r="F4" s="96"/>
      <c r="G4" s="96"/>
      <c r="H4" s="441"/>
    </row>
    <row r="5" spans="1:8" ht="15.95" customHeight="1" x14ac:dyDescent="0.2">
      <c r="A5" s="406" t="s">
        <v>282</v>
      </c>
      <c r="B5" s="96"/>
      <c r="C5" s="413" t="s">
        <v>528</v>
      </c>
      <c r="D5" s="96"/>
      <c r="E5" s="96"/>
      <c r="F5" s="96"/>
      <c r="G5" s="96"/>
      <c r="H5" s="441"/>
    </row>
    <row r="6" spans="1:8" ht="15.95" customHeight="1" x14ac:dyDescent="0.2">
      <c r="A6" s="406" t="s">
        <v>200</v>
      </c>
      <c r="B6" s="96"/>
      <c r="C6" s="96" t="s">
        <v>135</v>
      </c>
      <c r="D6" s="96"/>
      <c r="E6" s="96"/>
      <c r="F6" s="96"/>
      <c r="G6" s="96"/>
      <c r="H6" s="441"/>
    </row>
    <row r="7" spans="1:8" ht="15.95" customHeight="1" x14ac:dyDescent="0.2">
      <c r="A7" s="113"/>
      <c r="B7" s="96"/>
      <c r="C7" s="96"/>
      <c r="D7" s="96"/>
      <c r="E7" s="96"/>
      <c r="F7" s="96"/>
      <c r="G7" s="96"/>
      <c r="H7" s="441"/>
    </row>
    <row r="8" spans="1:8" ht="15.95" customHeight="1" x14ac:dyDescent="0.2">
      <c r="A8" s="519" t="s">
        <v>0</v>
      </c>
      <c r="B8" s="527" t="s">
        <v>152</v>
      </c>
      <c r="C8" s="522"/>
      <c r="D8" s="522"/>
      <c r="E8" s="522"/>
      <c r="F8" s="114"/>
      <c r="G8" s="402" t="s">
        <v>198</v>
      </c>
      <c r="H8" s="442" t="s">
        <v>198</v>
      </c>
    </row>
    <row r="9" spans="1:8" ht="15.95" customHeight="1" thickBot="1" x14ac:dyDescent="0.25">
      <c r="A9" s="520"/>
      <c r="B9" s="523"/>
      <c r="C9" s="524"/>
      <c r="D9" s="524"/>
      <c r="E9" s="524"/>
      <c r="F9" s="115"/>
      <c r="G9" s="403" t="s">
        <v>2</v>
      </c>
      <c r="H9" s="443" t="s">
        <v>522</v>
      </c>
    </row>
    <row r="10" spans="1:8" ht="15.95" customHeight="1" thickTop="1" x14ac:dyDescent="0.2">
      <c r="A10" s="116" t="s">
        <v>3</v>
      </c>
      <c r="B10" s="1" t="s">
        <v>182</v>
      </c>
      <c r="C10" s="117"/>
      <c r="D10" s="117"/>
      <c r="E10" s="117"/>
      <c r="F10" s="117"/>
      <c r="G10" s="435">
        <f>G80</f>
        <v>36206137</v>
      </c>
      <c r="H10" s="444">
        <f>G10/13500</f>
        <v>2681.936074074074</v>
      </c>
    </row>
    <row r="11" spans="1:8" ht="15.95" customHeight="1" x14ac:dyDescent="0.2">
      <c r="A11" s="116" t="s">
        <v>4</v>
      </c>
      <c r="B11" s="1" t="s">
        <v>183</v>
      </c>
      <c r="C11" s="117"/>
      <c r="D11" s="117"/>
      <c r="E11" s="117"/>
      <c r="F11" s="117"/>
      <c r="G11" s="435">
        <f>G88</f>
        <v>8428123.8360000011</v>
      </c>
      <c r="H11" s="444">
        <f t="shared" ref="H11:H19" si="0">G11/13500</f>
        <v>624.30546933333346</v>
      </c>
    </row>
    <row r="12" spans="1:8" ht="15.95" customHeight="1" x14ac:dyDescent="0.2">
      <c r="A12" s="116" t="s">
        <v>5</v>
      </c>
      <c r="B12" s="1" t="s">
        <v>184</v>
      </c>
      <c r="C12" s="117"/>
      <c r="D12" s="117"/>
      <c r="E12" s="117"/>
      <c r="F12" s="117"/>
      <c r="G12" s="435">
        <f>G96</f>
        <v>70451120.849999994</v>
      </c>
      <c r="H12" s="444">
        <f t="shared" si="0"/>
        <v>5218.6015444444438</v>
      </c>
    </row>
    <row r="13" spans="1:8" ht="15.95" customHeight="1" x14ac:dyDescent="0.2">
      <c r="A13" s="116" t="s">
        <v>6</v>
      </c>
      <c r="B13" s="1" t="s">
        <v>185</v>
      </c>
      <c r="C13" s="117"/>
      <c r="D13" s="117"/>
      <c r="E13" s="117"/>
      <c r="F13" s="117"/>
      <c r="G13" s="435">
        <f>G104</f>
        <v>43252794.910665117</v>
      </c>
      <c r="H13" s="444">
        <f t="shared" si="0"/>
        <v>3203.9107341233421</v>
      </c>
    </row>
    <row r="14" spans="1:8" ht="15.95" customHeight="1" x14ac:dyDescent="0.2">
      <c r="A14" s="116" t="s">
        <v>38</v>
      </c>
      <c r="B14" s="1" t="s">
        <v>186</v>
      </c>
      <c r="C14" s="117"/>
      <c r="D14" s="117"/>
      <c r="E14" s="117"/>
      <c r="F14" s="117"/>
      <c r="G14" s="435">
        <f>G109</f>
        <v>21363603.800000001</v>
      </c>
      <c r="H14" s="444">
        <f t="shared" si="0"/>
        <v>1582.4891703703704</v>
      </c>
    </row>
    <row r="15" spans="1:8" ht="15.95" customHeight="1" x14ac:dyDescent="0.2">
      <c r="A15" s="116" t="s">
        <v>39</v>
      </c>
      <c r="B15" s="1" t="s">
        <v>187</v>
      </c>
      <c r="C15" s="117"/>
      <c r="D15" s="117"/>
      <c r="E15" s="117"/>
      <c r="F15" s="117"/>
      <c r="G15" s="435">
        <f>G113</f>
        <v>25949756.799999997</v>
      </c>
      <c r="H15" s="444">
        <f t="shared" si="0"/>
        <v>1922.2042074074072</v>
      </c>
    </row>
    <row r="16" spans="1:8" ht="15.95" customHeight="1" x14ac:dyDescent="0.2">
      <c r="A16" s="116" t="s">
        <v>7</v>
      </c>
      <c r="B16" s="1" t="s">
        <v>188</v>
      </c>
      <c r="C16" s="117"/>
      <c r="D16" s="117"/>
      <c r="E16" s="117"/>
      <c r="F16" s="117"/>
      <c r="G16" s="435">
        <f>G129</f>
        <v>19556724.84502</v>
      </c>
      <c r="H16" s="444">
        <f t="shared" si="0"/>
        <v>1448.6462848162962</v>
      </c>
    </row>
    <row r="17" spans="1:9" ht="15.95" customHeight="1" x14ac:dyDescent="0.2">
      <c r="A17" s="116" t="s">
        <v>40</v>
      </c>
      <c r="B17" s="1" t="s">
        <v>189</v>
      </c>
      <c r="C17" s="117"/>
      <c r="D17" s="117"/>
      <c r="E17" s="117"/>
      <c r="F17" s="117"/>
      <c r="G17" s="435">
        <f>G135</f>
        <v>14106704.215999998</v>
      </c>
      <c r="H17" s="444">
        <f t="shared" si="0"/>
        <v>1044.9410530370369</v>
      </c>
    </row>
    <row r="18" spans="1:9" ht="15.95" customHeight="1" x14ac:dyDescent="0.2">
      <c r="A18" s="116" t="s">
        <v>41</v>
      </c>
      <c r="B18" s="1" t="s">
        <v>190</v>
      </c>
      <c r="C18" s="117"/>
      <c r="D18" s="117"/>
      <c r="E18" s="117"/>
      <c r="F18" s="117"/>
      <c r="G18" s="435">
        <f>G144</f>
        <v>2464000</v>
      </c>
      <c r="H18" s="444">
        <f t="shared" si="0"/>
        <v>182.5185185185185</v>
      </c>
    </row>
    <row r="19" spans="1:9" ht="15.95" customHeight="1" x14ac:dyDescent="0.2">
      <c r="A19" s="116" t="s">
        <v>54</v>
      </c>
      <c r="B19" s="1" t="s">
        <v>191</v>
      </c>
      <c r="C19" s="117"/>
      <c r="D19" s="117"/>
      <c r="E19" s="117"/>
      <c r="F19" s="117"/>
      <c r="G19" s="435">
        <f>G151</f>
        <v>60493689.959999993</v>
      </c>
      <c r="H19" s="444">
        <f t="shared" si="0"/>
        <v>4481.0140711111108</v>
      </c>
    </row>
    <row r="20" spans="1:9" ht="15.95" customHeight="1" x14ac:dyDescent="0.2">
      <c r="A20" s="118"/>
      <c r="B20" s="119"/>
      <c r="C20" s="120"/>
      <c r="D20" s="120"/>
      <c r="E20" s="120"/>
      <c r="F20" s="120"/>
      <c r="G20" s="436"/>
      <c r="H20" s="445"/>
    </row>
    <row r="21" spans="1:9" ht="15.95" customHeight="1" x14ac:dyDescent="0.2">
      <c r="A21" s="121"/>
      <c r="B21" s="122"/>
      <c r="C21" s="122"/>
      <c r="D21" s="122"/>
      <c r="E21" s="122"/>
      <c r="F21" s="123" t="s">
        <v>197</v>
      </c>
      <c r="G21" s="437">
        <f>SUM(G10:G19)</f>
        <v>302272656.2176851</v>
      </c>
      <c r="H21" s="446">
        <f>SUM(H10:H19)</f>
        <v>22390.567127235932</v>
      </c>
    </row>
    <row r="22" spans="1:9" ht="15.95" customHeight="1" x14ac:dyDescent="0.2">
      <c r="A22" s="125"/>
      <c r="B22" s="126"/>
      <c r="C22" s="127"/>
      <c r="D22" s="127"/>
      <c r="E22" s="127"/>
      <c r="F22" s="128"/>
      <c r="G22" s="127"/>
      <c r="H22" s="447"/>
    </row>
    <row r="23" spans="1:9" ht="15.95" customHeight="1" x14ac:dyDescent="0.2">
      <c r="A23" s="130"/>
      <c r="B23" s="96"/>
      <c r="C23" s="96"/>
      <c r="D23" s="96"/>
      <c r="E23" s="96"/>
      <c r="F23" s="97" t="s">
        <v>116</v>
      </c>
      <c r="G23" s="438">
        <f>G21</f>
        <v>302272656.2176851</v>
      </c>
      <c r="H23" s="448">
        <f>H21</f>
        <v>22390.567127235932</v>
      </c>
    </row>
    <row r="24" spans="1:9" ht="15.95" customHeight="1" x14ac:dyDescent="0.2">
      <c r="A24" s="130"/>
      <c r="B24" s="96"/>
      <c r="C24" s="96"/>
      <c r="D24" s="96"/>
      <c r="E24" s="96"/>
      <c r="F24" s="400" t="s">
        <v>485</v>
      </c>
      <c r="G24" s="439">
        <f>INT(G23/1000)*1000</f>
        <v>302272000</v>
      </c>
      <c r="H24" s="449">
        <f>INT(H23/1)*1</f>
        <v>22390</v>
      </c>
      <c r="I24" s="168"/>
    </row>
    <row r="25" spans="1:9" x14ac:dyDescent="0.2">
      <c r="A25" s="130"/>
      <c r="B25" s="96"/>
      <c r="C25" s="96"/>
      <c r="D25" s="96"/>
      <c r="E25" s="96"/>
      <c r="F25" s="97"/>
      <c r="G25" s="440"/>
      <c r="H25" s="441"/>
    </row>
    <row r="26" spans="1:9" x14ac:dyDescent="0.2">
      <c r="A26" s="130"/>
      <c r="B26" s="96"/>
      <c r="C26" s="133"/>
      <c r="D26" s="133"/>
      <c r="E26" s="133"/>
      <c r="F26" s="134"/>
      <c r="G26" s="440"/>
      <c r="H26" s="441"/>
    </row>
    <row r="27" spans="1:9" x14ac:dyDescent="0.2">
      <c r="A27" s="130"/>
      <c r="B27" s="96"/>
      <c r="C27" s="133"/>
      <c r="D27" s="133"/>
      <c r="E27" s="133"/>
      <c r="F27" s="134"/>
      <c r="G27" s="440"/>
      <c r="H27" s="441"/>
    </row>
    <row r="28" spans="1:9" x14ac:dyDescent="0.2">
      <c r="A28" s="130"/>
      <c r="B28" s="96"/>
      <c r="C28" s="133"/>
      <c r="D28" s="133"/>
      <c r="E28" s="133"/>
      <c r="F28" s="134"/>
      <c r="G28" s="440"/>
      <c r="H28" s="441"/>
    </row>
    <row r="29" spans="1:9" x14ac:dyDescent="0.2">
      <c r="A29" s="113"/>
      <c r="B29" s="96"/>
      <c r="C29" s="96"/>
      <c r="D29" s="96"/>
      <c r="E29" s="96"/>
      <c r="G29" s="438"/>
      <c r="H29" s="441"/>
    </row>
    <row r="30" spans="1:9" x14ac:dyDescent="0.2">
      <c r="A30" s="113"/>
      <c r="B30" s="96"/>
      <c r="C30" s="96"/>
      <c r="D30" s="96"/>
      <c r="E30" s="526"/>
      <c r="F30" s="504"/>
      <c r="G30" s="504"/>
      <c r="H30" s="441"/>
    </row>
    <row r="31" spans="1:9" x14ac:dyDescent="0.2">
      <c r="A31" s="113"/>
      <c r="B31" s="96"/>
      <c r="C31" s="96"/>
      <c r="D31" s="96"/>
      <c r="E31" s="505"/>
      <c r="F31" s="504"/>
      <c r="G31" s="504"/>
      <c r="H31" s="441"/>
    </row>
    <row r="32" spans="1:9" x14ac:dyDescent="0.2">
      <c r="A32" s="113"/>
      <c r="B32" s="96"/>
      <c r="C32" s="96"/>
      <c r="D32" s="96"/>
      <c r="E32" s="504"/>
      <c r="F32" s="504"/>
      <c r="G32" s="504"/>
      <c r="H32" s="441"/>
    </row>
    <row r="33" spans="1:8" x14ac:dyDescent="0.2">
      <c r="A33" s="113"/>
      <c r="B33" s="96"/>
      <c r="C33" s="96"/>
      <c r="D33" s="96"/>
      <c r="E33" s="505"/>
      <c r="F33" s="504"/>
      <c r="G33" s="504"/>
      <c r="H33" s="441"/>
    </row>
    <row r="34" spans="1:8" x14ac:dyDescent="0.2">
      <c r="A34" s="113"/>
      <c r="B34" s="96"/>
      <c r="C34" s="96"/>
      <c r="D34" s="96"/>
      <c r="E34" s="96"/>
      <c r="F34" s="97"/>
      <c r="G34" s="96"/>
      <c r="H34" s="441"/>
    </row>
    <row r="35" spans="1:8" x14ac:dyDescent="0.2">
      <c r="A35" s="113"/>
      <c r="B35" s="96"/>
      <c r="C35" s="96"/>
      <c r="D35" s="96"/>
      <c r="E35" s="504"/>
      <c r="F35" s="504"/>
      <c r="G35" s="504"/>
      <c r="H35" s="441"/>
    </row>
    <row r="36" spans="1:8" x14ac:dyDescent="0.2">
      <c r="A36" s="113"/>
      <c r="B36" s="96"/>
      <c r="C36" s="96"/>
      <c r="D36" s="96"/>
      <c r="E36" s="96"/>
      <c r="F36" s="97"/>
      <c r="G36" s="97"/>
      <c r="H36" s="441"/>
    </row>
    <row r="37" spans="1:8" x14ac:dyDescent="0.2">
      <c r="A37" s="113"/>
      <c r="B37" s="96"/>
      <c r="C37" s="96"/>
      <c r="D37" s="96"/>
      <c r="E37" s="504"/>
      <c r="F37" s="504"/>
      <c r="G37" s="504"/>
      <c r="H37" s="441"/>
    </row>
    <row r="38" spans="1:8" x14ac:dyDescent="0.2">
      <c r="A38" s="113"/>
      <c r="B38" s="96"/>
      <c r="C38" s="96"/>
      <c r="D38" s="96"/>
      <c r="E38" s="96"/>
      <c r="F38" s="111"/>
      <c r="G38" s="401"/>
      <c r="H38" s="441"/>
    </row>
    <row r="39" spans="1:8" ht="15.75" thickBot="1" x14ac:dyDescent="0.25">
      <c r="A39" s="135"/>
      <c r="B39" s="136"/>
      <c r="C39" s="136"/>
      <c r="D39" s="136"/>
      <c r="E39" s="136"/>
      <c r="F39" s="137"/>
      <c r="G39" s="137"/>
      <c r="H39" s="450"/>
    </row>
    <row r="40" spans="1:8" ht="15.75" thickTop="1" x14ac:dyDescent="0.2">
      <c r="A40" s="96"/>
      <c r="B40" s="96"/>
      <c r="C40" s="96"/>
      <c r="D40" s="96"/>
      <c r="E40" s="96"/>
      <c r="F40" s="111"/>
      <c r="G40" s="111"/>
    </row>
    <row r="41" spans="1:8" x14ac:dyDescent="0.2">
      <c r="A41" s="96"/>
      <c r="B41" s="96"/>
      <c r="C41" s="96"/>
      <c r="D41" s="96"/>
      <c r="E41" s="96"/>
      <c r="F41" s="111"/>
      <c r="G41" s="111"/>
    </row>
    <row r="42" spans="1:8" x14ac:dyDescent="0.2">
      <c r="A42" s="96"/>
      <c r="B42" s="96"/>
      <c r="C42" s="96"/>
      <c r="D42" s="96"/>
      <c r="E42" s="96"/>
      <c r="F42" s="111"/>
      <c r="G42" s="111"/>
    </row>
    <row r="43" spans="1:8" x14ac:dyDescent="0.2">
      <c r="A43" s="96"/>
      <c r="B43" s="96"/>
      <c r="C43" s="96"/>
      <c r="D43" s="96"/>
      <c r="E43" s="96"/>
      <c r="F43" s="111"/>
      <c r="G43" s="111"/>
    </row>
    <row r="44" spans="1:8" x14ac:dyDescent="0.2">
      <c r="A44" s="96"/>
      <c r="B44" s="96"/>
      <c r="C44" s="96"/>
      <c r="D44" s="96"/>
      <c r="E44" s="96"/>
      <c r="F44" s="111"/>
      <c r="G44" s="111"/>
    </row>
    <row r="45" spans="1:8" x14ac:dyDescent="0.2">
      <c r="A45" s="96"/>
      <c r="B45" s="96"/>
      <c r="C45" s="96"/>
      <c r="D45" s="96"/>
      <c r="E45" s="96"/>
      <c r="F45" s="111"/>
      <c r="G45" s="111"/>
    </row>
    <row r="46" spans="1:8" x14ac:dyDescent="0.2">
      <c r="A46" s="96"/>
      <c r="B46" s="96"/>
      <c r="C46" s="96"/>
      <c r="D46" s="96"/>
      <c r="E46" s="96"/>
      <c r="F46" s="111"/>
      <c r="G46" s="111"/>
    </row>
    <row r="47" spans="1:8" x14ac:dyDescent="0.2">
      <c r="A47" s="96"/>
      <c r="B47" s="96"/>
      <c r="C47" s="96"/>
      <c r="D47" s="96"/>
      <c r="E47" s="96"/>
      <c r="F47" s="111"/>
      <c r="G47" s="111"/>
    </row>
    <row r="48" spans="1:8" x14ac:dyDescent="0.2">
      <c r="A48" s="96"/>
      <c r="B48" s="96"/>
      <c r="C48" s="96"/>
      <c r="D48" s="96"/>
      <c r="E48" s="96"/>
      <c r="F48" s="111"/>
      <c r="G48" s="111"/>
    </row>
    <row r="49" spans="1:7" x14ac:dyDescent="0.2">
      <c r="A49" s="96"/>
      <c r="B49" s="96"/>
      <c r="C49" s="96"/>
      <c r="D49" s="96"/>
      <c r="E49" s="96"/>
      <c r="F49" s="111"/>
      <c r="G49" s="111"/>
    </row>
    <row r="50" spans="1:7" x14ac:dyDescent="0.2">
      <c r="A50" s="96"/>
      <c r="B50" s="96"/>
      <c r="C50" s="96"/>
      <c r="D50" s="96"/>
      <c r="E50" s="96"/>
      <c r="F50" s="111"/>
      <c r="G50" s="111"/>
    </row>
    <row r="51" spans="1:7" x14ac:dyDescent="0.2">
      <c r="A51" s="96"/>
      <c r="B51" s="96"/>
      <c r="C51" s="96"/>
      <c r="D51" s="96"/>
      <c r="E51" s="96"/>
      <c r="F51" s="111"/>
      <c r="G51" s="111"/>
    </row>
    <row r="52" spans="1:7" x14ac:dyDescent="0.2">
      <c r="A52" s="96"/>
      <c r="B52" s="96"/>
      <c r="C52" s="96"/>
      <c r="D52" s="96"/>
      <c r="E52" s="96"/>
      <c r="F52" s="111"/>
      <c r="G52" s="111"/>
    </row>
    <row r="53" spans="1:7" x14ac:dyDescent="0.2">
      <c r="A53" s="96"/>
      <c r="B53" s="96"/>
      <c r="C53" s="96"/>
      <c r="D53" s="96"/>
      <c r="E53" s="96"/>
      <c r="F53" s="111"/>
      <c r="G53" s="111"/>
    </row>
    <row r="54" spans="1:7" x14ac:dyDescent="0.2">
      <c r="A54" s="96"/>
      <c r="B54" s="96"/>
      <c r="C54" s="96"/>
      <c r="D54" s="96"/>
      <c r="E54" s="96"/>
      <c r="F54" s="111"/>
      <c r="G54" s="111"/>
    </row>
    <row r="55" spans="1:7" x14ac:dyDescent="0.2">
      <c r="A55" s="96"/>
      <c r="B55" s="96"/>
      <c r="C55" s="96"/>
      <c r="D55" s="96"/>
      <c r="E55" s="96"/>
      <c r="F55" s="111"/>
      <c r="G55" s="111"/>
    </row>
    <row r="56" spans="1:7" x14ac:dyDescent="0.2">
      <c r="A56" s="96"/>
      <c r="B56" s="96"/>
      <c r="C56" s="96"/>
      <c r="D56" s="96"/>
      <c r="E56" s="96"/>
      <c r="F56" s="111"/>
      <c r="G56" s="111"/>
    </row>
    <row r="57" spans="1:7" x14ac:dyDescent="0.2">
      <c r="A57" s="96"/>
      <c r="B57" s="96"/>
      <c r="C57" s="96"/>
      <c r="D57" s="96"/>
      <c r="E57" s="96"/>
      <c r="F57" s="111"/>
      <c r="G57" s="111"/>
    </row>
    <row r="58" spans="1:7" x14ac:dyDescent="0.2">
      <c r="A58" s="96"/>
      <c r="B58" s="96"/>
      <c r="C58" s="96"/>
      <c r="D58" s="96"/>
      <c r="E58" s="96"/>
      <c r="F58" s="111"/>
      <c r="G58" s="111"/>
    </row>
    <row r="59" spans="1:7" x14ac:dyDescent="0.2">
      <c r="A59" s="96"/>
      <c r="B59" s="96"/>
      <c r="C59" s="96"/>
      <c r="D59" s="96"/>
      <c r="E59" s="96"/>
      <c r="F59" s="111"/>
      <c r="G59" s="111"/>
    </row>
    <row r="60" spans="1:7" x14ac:dyDescent="0.2">
      <c r="A60" s="96"/>
      <c r="B60" s="96"/>
      <c r="C60" s="96"/>
      <c r="D60" s="96"/>
      <c r="E60" s="96"/>
      <c r="F60" s="111"/>
      <c r="G60" s="111"/>
    </row>
    <row r="61" spans="1:7" x14ac:dyDescent="0.2">
      <c r="A61" s="96"/>
      <c r="B61" s="96"/>
      <c r="C61" s="96"/>
      <c r="D61" s="96"/>
      <c r="E61" s="96"/>
      <c r="F61" s="111"/>
      <c r="G61" s="111"/>
    </row>
    <row r="62" spans="1:7" x14ac:dyDescent="0.2">
      <c r="A62" s="96"/>
      <c r="B62" s="96"/>
      <c r="C62" s="96"/>
      <c r="D62" s="96"/>
      <c r="E62" s="96"/>
      <c r="F62" s="111"/>
      <c r="G62" s="111"/>
    </row>
    <row r="63" spans="1:7" x14ac:dyDescent="0.2">
      <c r="A63" s="96"/>
      <c r="B63" s="96"/>
      <c r="C63" s="96"/>
      <c r="D63" s="96"/>
      <c r="E63" s="96"/>
      <c r="F63" s="111"/>
      <c r="G63" s="111"/>
    </row>
    <row r="64" spans="1:7" x14ac:dyDescent="0.2">
      <c r="A64" s="96"/>
      <c r="B64" s="96"/>
      <c r="C64" s="96"/>
      <c r="D64" s="96"/>
      <c r="E64" s="96"/>
      <c r="F64" s="111"/>
      <c r="G64" s="111"/>
    </row>
    <row r="65" spans="1:9" x14ac:dyDescent="0.2">
      <c r="A65" s="96"/>
      <c r="B65" s="96"/>
      <c r="C65" s="96"/>
      <c r="D65" s="96"/>
      <c r="E65" s="96"/>
      <c r="F65" s="111"/>
      <c r="G65" s="111"/>
    </row>
    <row r="66" spans="1:9" ht="18" x14ac:dyDescent="0.25">
      <c r="A66" s="516" t="s">
        <v>511</v>
      </c>
      <c r="B66" s="516"/>
      <c r="C66" s="516"/>
      <c r="D66" s="516"/>
      <c r="E66" s="516"/>
      <c r="F66" s="516"/>
      <c r="G66" s="516"/>
    </row>
    <row r="67" spans="1:9" x14ac:dyDescent="0.2">
      <c r="A67" s="96"/>
      <c r="B67" s="96"/>
      <c r="C67" s="96"/>
      <c r="D67" s="96"/>
      <c r="E67" s="96"/>
      <c r="F67" s="96"/>
      <c r="G67" s="96"/>
    </row>
    <row r="68" spans="1:9" x14ac:dyDescent="0.2">
      <c r="A68" s="96" t="s">
        <v>150</v>
      </c>
      <c r="B68" s="96"/>
      <c r="C68" s="96" t="str">
        <f>C4</f>
        <v>: PERMANENT SCHOOL</v>
      </c>
      <c r="D68" s="96"/>
      <c r="E68" s="96"/>
      <c r="F68" s="96"/>
      <c r="G68" s="96"/>
    </row>
    <row r="69" spans="1:9" x14ac:dyDescent="0.2">
      <c r="A69" s="96" t="s">
        <v>151</v>
      </c>
      <c r="B69" s="96"/>
      <c r="C69" s="96" t="str">
        <f>C5</f>
        <v>: OUTER ISLAND - INDONESIA</v>
      </c>
      <c r="D69" s="96"/>
      <c r="E69" s="96"/>
      <c r="F69" s="96"/>
      <c r="G69" s="96"/>
    </row>
    <row r="70" spans="1:9" x14ac:dyDescent="0.2">
      <c r="A70" s="138"/>
      <c r="B70" s="139"/>
      <c r="C70" s="139"/>
      <c r="D70" s="139"/>
      <c r="E70" s="139"/>
      <c r="F70" s="139"/>
      <c r="G70" s="139"/>
    </row>
    <row r="71" spans="1:9" x14ac:dyDescent="0.2">
      <c r="A71" s="510" t="s">
        <v>0</v>
      </c>
      <c r="B71" s="510" t="s">
        <v>152</v>
      </c>
      <c r="C71" s="517"/>
      <c r="D71" s="510" t="s">
        <v>1</v>
      </c>
      <c r="E71" s="517"/>
      <c r="F71" s="140" t="s">
        <v>227</v>
      </c>
      <c r="G71" s="140" t="s">
        <v>202</v>
      </c>
      <c r="H71" s="140" t="s">
        <v>227</v>
      </c>
      <c r="I71" s="140" t="s">
        <v>202</v>
      </c>
    </row>
    <row r="72" spans="1:9" ht="15.75" thickBot="1" x14ac:dyDescent="0.25">
      <c r="A72" s="512"/>
      <c r="B72" s="512"/>
      <c r="C72" s="518"/>
      <c r="D72" s="512"/>
      <c r="E72" s="518"/>
      <c r="F72" s="141" t="s">
        <v>2</v>
      </c>
      <c r="G72" s="141" t="s">
        <v>2</v>
      </c>
      <c r="H72" s="141" t="s">
        <v>522</v>
      </c>
      <c r="I72" s="141" t="s">
        <v>522</v>
      </c>
    </row>
    <row r="73" spans="1:9" ht="15" customHeight="1" thickTop="1" x14ac:dyDescent="0.2">
      <c r="A73" s="142" t="s">
        <v>3</v>
      </c>
      <c r="B73" s="143" t="s">
        <v>207</v>
      </c>
      <c r="C73" s="144"/>
      <c r="D73" s="145"/>
      <c r="E73" s="146"/>
      <c r="F73" s="147"/>
      <c r="G73" s="147"/>
      <c r="H73" s="419"/>
      <c r="I73" s="419"/>
    </row>
    <row r="74" spans="1:9" ht="15" customHeight="1" x14ac:dyDescent="0.2">
      <c r="A74" s="148">
        <v>1</v>
      </c>
      <c r="B74" s="1" t="s">
        <v>209</v>
      </c>
      <c r="C74" s="149"/>
      <c r="D74" s="150">
        <v>1</v>
      </c>
      <c r="E74" s="151" t="s">
        <v>33</v>
      </c>
      <c r="F74" s="152">
        <v>3850000</v>
      </c>
      <c r="G74" s="152">
        <f>F74*D74</f>
        <v>3850000</v>
      </c>
      <c r="H74" s="420">
        <f>F74/13500</f>
        <v>285.18518518518516</v>
      </c>
      <c r="I74" s="420">
        <f>H74*D74</f>
        <v>285.18518518518516</v>
      </c>
    </row>
    <row r="75" spans="1:9" ht="15" customHeight="1" x14ac:dyDescent="0.2">
      <c r="A75" s="148">
        <f>+A74+1</f>
        <v>2</v>
      </c>
      <c r="B75" s="1" t="s">
        <v>210</v>
      </c>
      <c r="C75" s="149"/>
      <c r="D75" s="150">
        <v>1</v>
      </c>
      <c r="E75" s="151" t="s">
        <v>33</v>
      </c>
      <c r="F75" s="152">
        <v>25740000</v>
      </c>
      <c r="G75" s="152">
        <f>F75*D75</f>
        <v>25740000</v>
      </c>
      <c r="H75" s="420">
        <f t="shared" ref="H75:H138" si="1">F75/13500</f>
        <v>1906.6666666666667</v>
      </c>
      <c r="I75" s="420">
        <f t="shared" ref="I75:I138" si="2">H75*D75</f>
        <v>1906.6666666666667</v>
      </c>
    </row>
    <row r="76" spans="1:9" ht="15" customHeight="1" x14ac:dyDescent="0.2">
      <c r="A76" s="148">
        <f>+A75+1</f>
        <v>3</v>
      </c>
      <c r="B76" s="1" t="s">
        <v>211</v>
      </c>
      <c r="C76" s="149"/>
      <c r="D76" s="150">
        <v>1</v>
      </c>
      <c r="E76" s="151" t="s">
        <v>33</v>
      </c>
      <c r="F76" s="152">
        <v>3300000</v>
      </c>
      <c r="G76" s="152">
        <f>F76*D76</f>
        <v>3300000</v>
      </c>
      <c r="H76" s="420">
        <f t="shared" si="1"/>
        <v>244.44444444444446</v>
      </c>
      <c r="I76" s="420">
        <f t="shared" si="2"/>
        <v>244.44444444444446</v>
      </c>
    </row>
    <row r="77" spans="1:9" ht="15" customHeight="1" x14ac:dyDescent="0.2">
      <c r="A77" s="148">
        <f>+A76+1</f>
        <v>4</v>
      </c>
      <c r="B77" s="1" t="s">
        <v>212</v>
      </c>
      <c r="C77" s="149"/>
      <c r="D77" s="150">
        <f>8+8+14</f>
        <v>30</v>
      </c>
      <c r="E77" s="151" t="s">
        <v>37</v>
      </c>
      <c r="F77" s="152">
        <v>110537.9</v>
      </c>
      <c r="G77" s="152">
        <f>F77*D77</f>
        <v>3316137</v>
      </c>
      <c r="H77" s="420">
        <f t="shared" si="1"/>
        <v>8.1879925925925914</v>
      </c>
      <c r="I77" s="420">
        <f t="shared" si="2"/>
        <v>245.63977777777774</v>
      </c>
    </row>
    <row r="78" spans="1:9" s="201" customFormat="1" ht="15.75" hidden="1" customHeight="1" x14ac:dyDescent="0.2">
      <c r="A78" s="195"/>
      <c r="B78" s="196" t="s">
        <v>117</v>
      </c>
      <c r="C78" s="197"/>
      <c r="D78" s="198">
        <f>8+8+8+9+9</f>
        <v>42</v>
      </c>
      <c r="E78" s="199"/>
      <c r="F78" s="200">
        <v>0</v>
      </c>
      <c r="G78" s="200"/>
      <c r="H78" s="420">
        <f t="shared" si="1"/>
        <v>0</v>
      </c>
      <c r="I78" s="420">
        <f t="shared" si="2"/>
        <v>0</v>
      </c>
    </row>
    <row r="79" spans="1:9" s="201" customFormat="1" ht="15.75" customHeight="1" x14ac:dyDescent="0.2">
      <c r="A79" s="202"/>
      <c r="B79" s="203" t="s">
        <v>115</v>
      </c>
      <c r="C79" s="204"/>
      <c r="D79" s="205">
        <f>8*9</f>
        <v>72</v>
      </c>
      <c r="E79" s="206"/>
      <c r="F79" s="207">
        <v>0</v>
      </c>
      <c r="G79" s="207"/>
      <c r="H79" s="421"/>
      <c r="I79" s="421"/>
    </row>
    <row r="80" spans="1:9" x14ac:dyDescent="0.2">
      <c r="A80" s="153"/>
      <c r="B80" s="154"/>
      <c r="C80" s="157" t="s">
        <v>213</v>
      </c>
      <c r="D80" s="155"/>
      <c r="E80" s="156"/>
      <c r="F80" s="157"/>
      <c r="G80" s="158">
        <f>SUM(G74:G79)</f>
        <v>36206137</v>
      </c>
      <c r="H80" s="422"/>
      <c r="I80" s="422">
        <f>SUM(I74:I77)</f>
        <v>2681.936074074074</v>
      </c>
    </row>
    <row r="81" spans="1:9" ht="15" customHeight="1" x14ac:dyDescent="0.2">
      <c r="A81" s="142" t="s">
        <v>4</v>
      </c>
      <c r="B81" s="143" t="s">
        <v>494</v>
      </c>
      <c r="C81" s="159"/>
      <c r="D81" s="145"/>
      <c r="E81" s="146"/>
      <c r="F81" s="147"/>
      <c r="G81" s="147"/>
      <c r="H81" s="419"/>
      <c r="I81" s="419"/>
    </row>
    <row r="82" spans="1:9" ht="15" customHeight="1" x14ac:dyDescent="0.2">
      <c r="A82" s="160">
        <v>1</v>
      </c>
      <c r="B82" s="1" t="s">
        <v>214</v>
      </c>
      <c r="C82" s="149"/>
      <c r="D82" s="150">
        <f>0.9*0.7*D78</f>
        <v>26.46</v>
      </c>
      <c r="E82" s="151" t="s">
        <v>16</v>
      </c>
      <c r="F82" s="161">
        <v>56060.4</v>
      </c>
      <c r="G82" s="152">
        <f>F82*D82</f>
        <v>1483358.1840000001</v>
      </c>
      <c r="H82" s="420">
        <f t="shared" si="1"/>
        <v>4.152622222222222</v>
      </c>
      <c r="I82" s="420">
        <f t="shared" si="2"/>
        <v>109.878384</v>
      </c>
    </row>
    <row r="83" spans="1:9" ht="15" customHeight="1" x14ac:dyDescent="0.2">
      <c r="A83" s="160">
        <f>A82+1</f>
        <v>2</v>
      </c>
      <c r="B83" s="1" t="s">
        <v>51</v>
      </c>
      <c r="C83" s="149"/>
      <c r="D83" s="162">
        <f>0.3*0.9*D78</f>
        <v>11.34</v>
      </c>
      <c r="E83" s="151" t="s">
        <v>16</v>
      </c>
      <c r="F83" s="152">
        <v>159364.70000000001</v>
      </c>
      <c r="G83" s="152">
        <f>F83*D83</f>
        <v>1807195.6980000001</v>
      </c>
      <c r="H83" s="420">
        <f t="shared" si="1"/>
        <v>11.804792592592593</v>
      </c>
      <c r="I83" s="420">
        <f t="shared" si="2"/>
        <v>133.86634799999999</v>
      </c>
    </row>
    <row r="84" spans="1:9" ht="15" customHeight="1" x14ac:dyDescent="0.2">
      <c r="A84" s="160">
        <f>A83+1</f>
        <v>3</v>
      </c>
      <c r="B84" s="1" t="s">
        <v>52</v>
      </c>
      <c r="C84" s="149"/>
      <c r="D84" s="150">
        <f>(1/3*D82)</f>
        <v>8.82</v>
      </c>
      <c r="E84" s="151" t="s">
        <v>16</v>
      </c>
      <c r="F84" s="152">
        <v>26869.7</v>
      </c>
      <c r="G84" s="152">
        <f>F84*D84</f>
        <v>236990.75400000002</v>
      </c>
      <c r="H84" s="420">
        <f t="shared" si="1"/>
        <v>1.9903481481481482</v>
      </c>
      <c r="I84" s="420">
        <f t="shared" si="2"/>
        <v>17.554870666666666</v>
      </c>
    </row>
    <row r="85" spans="1:9" ht="15" customHeight="1" x14ac:dyDescent="0.2">
      <c r="A85" s="160">
        <f>A84+1</f>
        <v>4</v>
      </c>
      <c r="B85" s="1" t="s">
        <v>118</v>
      </c>
      <c r="C85" s="149"/>
      <c r="D85" s="150">
        <f>0.3*D79</f>
        <v>21.599999999999998</v>
      </c>
      <c r="E85" s="151" t="s">
        <v>16</v>
      </c>
      <c r="F85" s="152">
        <v>173757.1</v>
      </c>
      <c r="G85" s="152">
        <f>F85*D85</f>
        <v>3753153.36</v>
      </c>
      <c r="H85" s="420">
        <f t="shared" si="1"/>
        <v>12.870896296296296</v>
      </c>
      <c r="I85" s="420">
        <f t="shared" si="2"/>
        <v>278.01135999999997</v>
      </c>
    </row>
    <row r="86" spans="1:9" ht="15" customHeight="1" x14ac:dyDescent="0.2">
      <c r="A86" s="160">
        <f>A85+1</f>
        <v>5</v>
      </c>
      <c r="B86" s="1" t="s">
        <v>53</v>
      </c>
      <c r="C86" s="149"/>
      <c r="D86" s="150">
        <f>0.1*D79</f>
        <v>7.2</v>
      </c>
      <c r="E86" s="151" t="s">
        <v>16</v>
      </c>
      <c r="F86" s="152">
        <v>159364.70000000001</v>
      </c>
      <c r="G86" s="152">
        <f>F86*D86</f>
        <v>1147425.8400000001</v>
      </c>
      <c r="H86" s="420">
        <f t="shared" si="1"/>
        <v>11.804792592592593</v>
      </c>
      <c r="I86" s="420">
        <f t="shared" si="2"/>
        <v>84.994506666666666</v>
      </c>
    </row>
    <row r="87" spans="1:9" ht="15" customHeight="1" x14ac:dyDescent="0.2">
      <c r="A87" s="163"/>
      <c r="B87" s="119"/>
      <c r="C87" s="164"/>
      <c r="D87" s="165"/>
      <c r="E87" s="166"/>
      <c r="F87" s="167"/>
      <c r="G87" s="167"/>
      <c r="H87" s="421"/>
      <c r="I87" s="421"/>
    </row>
    <row r="88" spans="1:9" x14ac:dyDescent="0.2">
      <c r="A88" s="153"/>
      <c r="B88" s="154"/>
      <c r="C88" s="157" t="s">
        <v>220</v>
      </c>
      <c r="D88" s="155"/>
      <c r="E88" s="156"/>
      <c r="F88" s="157"/>
      <c r="G88" s="158">
        <f>SUM(G82:G87)</f>
        <v>8428123.8360000011</v>
      </c>
      <c r="H88" s="422"/>
      <c r="I88" s="422">
        <f>SUM(I82:I86)</f>
        <v>624.30546933333335</v>
      </c>
    </row>
    <row r="89" spans="1:9" ht="15" customHeight="1" x14ac:dyDescent="0.2">
      <c r="A89" s="142" t="s">
        <v>5</v>
      </c>
      <c r="B89" s="409" t="s">
        <v>491</v>
      </c>
      <c r="C89" s="144"/>
      <c r="D89" s="145"/>
      <c r="E89" s="146"/>
      <c r="F89" s="147"/>
      <c r="G89" s="147"/>
      <c r="H89" s="419"/>
      <c r="I89" s="419"/>
    </row>
    <row r="90" spans="1:9" ht="15" customHeight="1" x14ac:dyDescent="0.2">
      <c r="A90" s="160">
        <v>1</v>
      </c>
      <c r="B90" s="376" t="s">
        <v>215</v>
      </c>
      <c r="C90" s="149"/>
      <c r="D90" s="150">
        <f>(0.3+0.7)/2*0.85*D78</f>
        <v>17.849999999999998</v>
      </c>
      <c r="E90" s="151" t="s">
        <v>16</v>
      </c>
      <c r="F90" s="152">
        <v>881669.8</v>
      </c>
      <c r="G90" s="152">
        <f>F90*D90</f>
        <v>15737805.93</v>
      </c>
      <c r="H90" s="420">
        <f t="shared" si="1"/>
        <v>65.308874074074083</v>
      </c>
      <c r="I90" s="420">
        <f t="shared" si="2"/>
        <v>1165.7634022222223</v>
      </c>
    </row>
    <row r="91" spans="1:9" ht="15" customHeight="1" x14ac:dyDescent="0.2">
      <c r="A91" s="160">
        <f>+A90+1</f>
        <v>2</v>
      </c>
      <c r="B91" s="375" t="s">
        <v>216</v>
      </c>
      <c r="C91" s="149"/>
      <c r="D91" s="162">
        <f>(16*3.5)+(37.69*2)</f>
        <v>131.38</v>
      </c>
      <c r="E91" s="151" t="s">
        <v>23</v>
      </c>
      <c r="F91" s="152">
        <v>178748.9</v>
      </c>
      <c r="G91" s="152">
        <f>F91*D91</f>
        <v>23484030.481999997</v>
      </c>
      <c r="H91" s="420">
        <f t="shared" si="1"/>
        <v>13.240659259259258</v>
      </c>
      <c r="I91" s="420">
        <f t="shared" si="2"/>
        <v>1739.5578134814814</v>
      </c>
    </row>
    <row r="92" spans="1:9" ht="15" customHeight="1" x14ac:dyDescent="0.2">
      <c r="A92" s="160">
        <f>+A91+1</f>
        <v>3</v>
      </c>
      <c r="B92" s="375" t="s">
        <v>217</v>
      </c>
      <c r="C92" s="149"/>
      <c r="D92" s="150">
        <f>(D91*2)+(0.7*3.5*14)</f>
        <v>297.06</v>
      </c>
      <c r="E92" s="151" t="s">
        <v>23</v>
      </c>
      <c r="F92" s="152">
        <v>69743.3</v>
      </c>
      <c r="G92" s="152">
        <f>F92*D92</f>
        <v>20717944.698000003</v>
      </c>
      <c r="H92" s="420">
        <f t="shared" si="1"/>
        <v>5.166170370370371</v>
      </c>
      <c r="I92" s="420">
        <f t="shared" si="2"/>
        <v>1534.6625702222225</v>
      </c>
    </row>
    <row r="93" spans="1:9" ht="15" customHeight="1" x14ac:dyDescent="0.2">
      <c r="A93" s="160">
        <f>+A92+1</f>
        <v>4</v>
      </c>
      <c r="B93" s="514" t="s">
        <v>218</v>
      </c>
      <c r="C93" s="515"/>
      <c r="D93" s="150">
        <f>(7.5*5*2)+(3.5*4*14)+(8*2*1)</f>
        <v>287</v>
      </c>
      <c r="E93" s="151" t="s">
        <v>37</v>
      </c>
      <c r="F93" s="152">
        <v>21741.5</v>
      </c>
      <c r="G93" s="152">
        <f>F93*D93</f>
        <v>6239810.5</v>
      </c>
      <c r="H93" s="420">
        <f t="shared" si="1"/>
        <v>1.6104814814814814</v>
      </c>
      <c r="I93" s="420">
        <f t="shared" si="2"/>
        <v>462.20818518518519</v>
      </c>
    </row>
    <row r="94" spans="1:9" ht="15" customHeight="1" x14ac:dyDescent="0.2">
      <c r="A94" s="160">
        <f>+A93+1</f>
        <v>5</v>
      </c>
      <c r="B94" s="119" t="s">
        <v>219</v>
      </c>
      <c r="C94" s="164"/>
      <c r="D94" s="165">
        <f>0.05*D79</f>
        <v>3.6</v>
      </c>
      <c r="E94" s="166" t="s">
        <v>16</v>
      </c>
      <c r="F94" s="167">
        <v>1186535.8999999999</v>
      </c>
      <c r="G94" s="152">
        <f>F94*D94</f>
        <v>4271529.24</v>
      </c>
      <c r="H94" s="420">
        <f t="shared" si="1"/>
        <v>87.891548148148146</v>
      </c>
      <c r="I94" s="420">
        <f t="shared" si="2"/>
        <v>316.40957333333336</v>
      </c>
    </row>
    <row r="95" spans="1:9" ht="15" customHeight="1" x14ac:dyDescent="0.2">
      <c r="A95" s="163"/>
      <c r="B95" s="119"/>
      <c r="C95" s="164"/>
      <c r="D95" s="165"/>
      <c r="E95" s="166"/>
      <c r="F95" s="167"/>
      <c r="G95" s="167"/>
      <c r="H95" s="421"/>
      <c r="I95" s="421"/>
    </row>
    <row r="96" spans="1:9" x14ac:dyDescent="0.2">
      <c r="A96" s="153"/>
      <c r="B96" s="154"/>
      <c r="C96" s="157" t="s">
        <v>222</v>
      </c>
      <c r="D96" s="155"/>
      <c r="E96" s="156"/>
      <c r="F96" s="157"/>
      <c r="G96" s="158">
        <f>SUM(G90:G95)</f>
        <v>70451120.849999994</v>
      </c>
      <c r="H96" s="422"/>
      <c r="I96" s="422">
        <f>SUM(I90:I94)</f>
        <v>5218.6015444444447</v>
      </c>
    </row>
    <row r="97" spans="1:9" ht="15" customHeight="1" x14ac:dyDescent="0.2">
      <c r="A97" s="142" t="s">
        <v>6</v>
      </c>
      <c r="B97" s="143" t="s">
        <v>487</v>
      </c>
      <c r="C97" s="144"/>
      <c r="D97" s="145"/>
      <c r="E97" s="146"/>
      <c r="F97" s="147"/>
      <c r="G97" s="147"/>
      <c r="H97" s="419"/>
      <c r="I97" s="419"/>
    </row>
    <row r="98" spans="1:9" ht="15" customHeight="1" x14ac:dyDescent="0.2">
      <c r="A98" s="148">
        <v>1</v>
      </c>
      <c r="B98" s="375" t="s">
        <v>231</v>
      </c>
      <c r="C98" s="149"/>
      <c r="D98" s="150">
        <f>0.15*0.2*D78</f>
        <v>1.26</v>
      </c>
      <c r="E98" s="151" t="s">
        <v>16</v>
      </c>
      <c r="F98" s="152">
        <v>6912113.5335999997</v>
      </c>
      <c r="G98" s="152">
        <f>F98*D98</f>
        <v>8709263.0523359999</v>
      </c>
      <c r="H98" s="420">
        <f t="shared" si="1"/>
        <v>512.00840989629626</v>
      </c>
      <c r="I98" s="420">
        <f t="shared" si="2"/>
        <v>645.13059646933334</v>
      </c>
    </row>
    <row r="99" spans="1:9" ht="15" customHeight="1" x14ac:dyDescent="0.2">
      <c r="A99" s="148">
        <v>2</v>
      </c>
      <c r="B99" s="1" t="s">
        <v>232</v>
      </c>
      <c r="C99" s="149"/>
      <c r="D99" s="150">
        <f>0.15*0.2*3.5*14</f>
        <v>1.47</v>
      </c>
      <c r="E99" s="151" t="s">
        <v>16</v>
      </c>
      <c r="F99" s="152">
        <v>8779844.2599999998</v>
      </c>
      <c r="G99" s="152">
        <f>F99*D99</f>
        <v>12906371.062199999</v>
      </c>
      <c r="H99" s="420">
        <f t="shared" si="1"/>
        <v>650.35883407407403</v>
      </c>
      <c r="I99" s="420">
        <f t="shared" si="2"/>
        <v>956.02748608888885</v>
      </c>
    </row>
    <row r="100" spans="1:9" ht="15" customHeight="1" x14ac:dyDescent="0.2">
      <c r="A100" s="148">
        <f>A99+1</f>
        <v>3</v>
      </c>
      <c r="B100" s="1" t="s">
        <v>233</v>
      </c>
      <c r="C100" s="149"/>
      <c r="D100" s="150">
        <f>0.15*0.15*30</f>
        <v>0.67499999999999993</v>
      </c>
      <c r="E100" s="151" t="s">
        <v>16</v>
      </c>
      <c r="F100" s="152">
        <v>7988732.8664000006</v>
      </c>
      <c r="G100" s="152">
        <f>F100*D100</f>
        <v>5392394.6848200001</v>
      </c>
      <c r="H100" s="420">
        <f t="shared" si="1"/>
        <v>591.75799010370372</v>
      </c>
      <c r="I100" s="420">
        <f t="shared" si="2"/>
        <v>399.43664331999997</v>
      </c>
    </row>
    <row r="101" spans="1:9" ht="15" customHeight="1" x14ac:dyDescent="0.2">
      <c r="A101" s="148">
        <f>A100+1</f>
        <v>4</v>
      </c>
      <c r="B101" s="1" t="s">
        <v>234</v>
      </c>
      <c r="C101" s="149"/>
      <c r="D101" s="150">
        <f>0.15*0.2*D78</f>
        <v>1.26</v>
      </c>
      <c r="E101" s="151" t="s">
        <v>16</v>
      </c>
      <c r="F101" s="152">
        <v>7863668.3664000006</v>
      </c>
      <c r="G101" s="152">
        <f>F101*D101</f>
        <v>9908222.1416640002</v>
      </c>
      <c r="H101" s="420">
        <f t="shared" si="1"/>
        <v>582.49395306666668</v>
      </c>
      <c r="I101" s="420">
        <f t="shared" si="2"/>
        <v>733.94238086400003</v>
      </c>
    </row>
    <row r="102" spans="1:9" ht="15" customHeight="1" x14ac:dyDescent="0.2">
      <c r="A102" s="148">
        <f>A101+1</f>
        <v>5</v>
      </c>
      <c r="B102" s="1" t="s">
        <v>235</v>
      </c>
      <c r="C102" s="149"/>
      <c r="D102" s="150">
        <f>0.15*0.2*13.43*2</f>
        <v>0.80579999999999996</v>
      </c>
      <c r="E102" s="151" t="s">
        <v>16</v>
      </c>
      <c r="F102" s="152">
        <v>7863668.3664000006</v>
      </c>
      <c r="G102" s="152">
        <f>F102*D102</f>
        <v>6336543.9696451202</v>
      </c>
      <c r="H102" s="420">
        <f t="shared" si="1"/>
        <v>582.49395306666668</v>
      </c>
      <c r="I102" s="420">
        <f t="shared" si="2"/>
        <v>469.37362738112</v>
      </c>
    </row>
    <row r="103" spans="1:9" ht="15" customHeight="1" x14ac:dyDescent="0.2">
      <c r="A103" s="163"/>
      <c r="B103" s="119"/>
      <c r="C103" s="164"/>
      <c r="D103" s="165"/>
      <c r="E103" s="166"/>
      <c r="F103" s="167"/>
      <c r="G103" s="167"/>
      <c r="H103" s="421"/>
      <c r="I103" s="421"/>
    </row>
    <row r="104" spans="1:9" x14ac:dyDescent="0.2">
      <c r="A104" s="153"/>
      <c r="B104" s="154"/>
      <c r="C104" s="157" t="s">
        <v>488</v>
      </c>
      <c r="D104" s="155"/>
      <c r="E104" s="156"/>
      <c r="F104" s="157"/>
      <c r="G104" s="158">
        <f>SUM(G98:G103)</f>
        <v>43252794.910665117</v>
      </c>
      <c r="H104" s="422"/>
      <c r="I104" s="422">
        <f>SUM(I98:I102)</f>
        <v>3203.9107341233425</v>
      </c>
    </row>
    <row r="105" spans="1:9" ht="15" customHeight="1" x14ac:dyDescent="0.2">
      <c r="A105" s="169" t="s">
        <v>38</v>
      </c>
      <c r="B105" s="170" t="s">
        <v>186</v>
      </c>
      <c r="C105" s="171"/>
      <c r="D105" s="150"/>
      <c r="E105" s="151"/>
      <c r="F105" s="152"/>
      <c r="G105" s="147"/>
      <c r="H105" s="419"/>
      <c r="I105" s="419"/>
    </row>
    <row r="106" spans="1:9" s="178" customFormat="1" ht="15" customHeight="1" x14ac:dyDescent="0.2">
      <c r="A106" s="172">
        <v>1</v>
      </c>
      <c r="B106" s="173" t="s">
        <v>293</v>
      </c>
      <c r="C106" s="174"/>
      <c r="D106" s="175">
        <f>D79</f>
        <v>72</v>
      </c>
      <c r="E106" s="176" t="s">
        <v>23</v>
      </c>
      <c r="F106" s="177">
        <v>244132.9</v>
      </c>
      <c r="G106" s="152">
        <f>F106*D106</f>
        <v>17577568.800000001</v>
      </c>
      <c r="H106" s="420">
        <f t="shared" si="1"/>
        <v>18.083918518518519</v>
      </c>
      <c r="I106" s="420">
        <f t="shared" si="2"/>
        <v>1302.0421333333334</v>
      </c>
    </row>
    <row r="107" spans="1:9" s="178" customFormat="1" ht="15" customHeight="1" x14ac:dyDescent="0.2">
      <c r="A107" s="172">
        <f>A106+1</f>
        <v>2</v>
      </c>
      <c r="B107" s="173" t="s">
        <v>288</v>
      </c>
      <c r="C107" s="174"/>
      <c r="D107" s="175">
        <f>8+8+8+7+7</f>
        <v>38</v>
      </c>
      <c r="E107" s="176" t="s">
        <v>50</v>
      </c>
      <c r="F107" s="177">
        <v>99632.5</v>
      </c>
      <c r="G107" s="152">
        <f>F107*D107</f>
        <v>3786035</v>
      </c>
      <c r="H107" s="420">
        <f t="shared" si="1"/>
        <v>7.3801851851851854</v>
      </c>
      <c r="I107" s="420">
        <f t="shared" si="2"/>
        <v>280.44703703703703</v>
      </c>
    </row>
    <row r="108" spans="1:9" ht="15" customHeight="1" x14ac:dyDescent="0.2">
      <c r="A108" s="163"/>
      <c r="B108" s="119"/>
      <c r="C108" s="164"/>
      <c r="D108" s="165"/>
      <c r="E108" s="166"/>
      <c r="F108" s="167"/>
      <c r="G108" s="167"/>
      <c r="H108" s="421"/>
      <c r="I108" s="421"/>
    </row>
    <row r="109" spans="1:9" x14ac:dyDescent="0.2">
      <c r="A109" s="153"/>
      <c r="B109" s="154"/>
      <c r="C109" s="157" t="s">
        <v>248</v>
      </c>
      <c r="D109" s="155"/>
      <c r="E109" s="156"/>
      <c r="F109" s="157"/>
      <c r="G109" s="158">
        <f>SUM(G106:G108)</f>
        <v>21363603.800000001</v>
      </c>
      <c r="H109" s="422"/>
      <c r="I109" s="422">
        <f>SUM(I106:I107)</f>
        <v>1582.4891703703704</v>
      </c>
    </row>
    <row r="110" spans="1:9" x14ac:dyDescent="0.2">
      <c r="A110" s="142" t="s">
        <v>39</v>
      </c>
      <c r="B110" s="143" t="s">
        <v>254</v>
      </c>
      <c r="C110" s="144"/>
      <c r="D110" s="145"/>
      <c r="E110" s="146"/>
      <c r="F110" s="147"/>
      <c r="G110" s="147"/>
      <c r="H110" s="419"/>
      <c r="I110" s="419"/>
    </row>
    <row r="111" spans="1:9" x14ac:dyDescent="0.2">
      <c r="A111" s="148">
        <v>1</v>
      </c>
      <c r="B111" s="1" t="s">
        <v>137</v>
      </c>
      <c r="C111" s="149"/>
      <c r="D111" s="150">
        <f>(9*8)+(10+10)+(6+6+6+6)</f>
        <v>116</v>
      </c>
      <c r="E111" s="151" t="s">
        <v>23</v>
      </c>
      <c r="F111" s="152">
        <v>223704.8</v>
      </c>
      <c r="G111" s="152">
        <f>F111*D111</f>
        <v>25949756.799999997</v>
      </c>
      <c r="H111" s="420">
        <f t="shared" si="1"/>
        <v>16.570725925925924</v>
      </c>
      <c r="I111" s="420">
        <f t="shared" si="2"/>
        <v>1922.2042074074072</v>
      </c>
    </row>
    <row r="112" spans="1:9" x14ac:dyDescent="0.2">
      <c r="A112" s="163"/>
      <c r="B112" s="119"/>
      <c r="C112" s="164"/>
      <c r="D112" s="165"/>
      <c r="E112" s="166"/>
      <c r="F112" s="167"/>
      <c r="G112" s="167"/>
      <c r="H112" s="421"/>
      <c r="I112" s="421"/>
    </row>
    <row r="113" spans="1:9" x14ac:dyDescent="0.2">
      <c r="A113" s="153"/>
      <c r="B113" s="154"/>
      <c r="C113" s="157" t="s">
        <v>256</v>
      </c>
      <c r="D113" s="155"/>
      <c r="E113" s="156"/>
      <c r="F113" s="157"/>
      <c r="G113" s="158">
        <f>SUM(G111:G112)</f>
        <v>25949756.799999997</v>
      </c>
      <c r="H113" s="422"/>
      <c r="I113" s="422">
        <f>I111</f>
        <v>1922.2042074074072</v>
      </c>
    </row>
    <row r="114" spans="1:9" x14ac:dyDescent="0.2">
      <c r="A114" s="142" t="s">
        <v>7</v>
      </c>
      <c r="B114" s="143" t="s">
        <v>255</v>
      </c>
      <c r="C114" s="144"/>
      <c r="D114" s="145"/>
      <c r="E114" s="146"/>
      <c r="F114" s="147"/>
      <c r="G114" s="147"/>
      <c r="H114" s="419"/>
      <c r="I114" s="419"/>
    </row>
    <row r="115" spans="1:9" x14ac:dyDescent="0.2">
      <c r="A115" s="148">
        <v>1</v>
      </c>
      <c r="B115" s="1" t="s">
        <v>243</v>
      </c>
      <c r="C115" s="171"/>
      <c r="D115" s="150"/>
      <c r="E115" s="151"/>
      <c r="F115" s="179">
        <v>0</v>
      </c>
      <c r="G115" s="152"/>
      <c r="H115" s="420"/>
      <c r="I115" s="420"/>
    </row>
    <row r="116" spans="1:9" x14ac:dyDescent="0.2">
      <c r="A116" s="148"/>
      <c r="B116" s="1" t="s">
        <v>126</v>
      </c>
      <c r="C116" s="171"/>
      <c r="D116" s="150">
        <f>((8.9*0.12*0.06)+(1.4*3*0.12*0.02))*1</f>
        <v>7.4160000000000004E-2</v>
      </c>
      <c r="E116" s="151" t="s">
        <v>16</v>
      </c>
      <c r="F116" s="152">
        <v>10132314.5</v>
      </c>
      <c r="G116" s="152">
        <f>F116*D116</f>
        <v>751412.44332000008</v>
      </c>
      <c r="H116" s="420">
        <f t="shared" si="1"/>
        <v>750.54181481481487</v>
      </c>
      <c r="I116" s="420">
        <f t="shared" si="2"/>
        <v>55.660180986666674</v>
      </c>
    </row>
    <row r="117" spans="1:9" x14ac:dyDescent="0.2">
      <c r="A117" s="148"/>
      <c r="B117" s="1" t="s">
        <v>127</v>
      </c>
      <c r="C117" s="171"/>
      <c r="D117" s="150">
        <f>((13*0.06*0.12)+(1.85*3*0.12*0.02))*5</f>
        <v>0.53459999999999996</v>
      </c>
      <c r="E117" s="151" t="str">
        <f>E116</f>
        <v>M3</v>
      </c>
      <c r="F117" s="152">
        <v>10132314.5</v>
      </c>
      <c r="G117" s="152">
        <f t="shared" ref="G117:G127" si="3">F117*D117</f>
        <v>5416735.3317</v>
      </c>
      <c r="H117" s="420">
        <f t="shared" si="1"/>
        <v>750.54181481481487</v>
      </c>
      <c r="I117" s="420">
        <f t="shared" si="2"/>
        <v>401.23965420000002</v>
      </c>
    </row>
    <row r="118" spans="1:9" x14ac:dyDescent="0.2">
      <c r="A118" s="148"/>
      <c r="B118" s="180"/>
      <c r="C118" s="171"/>
      <c r="D118" s="150"/>
      <c r="E118" s="151"/>
      <c r="F118" s="152"/>
      <c r="G118" s="152"/>
      <c r="H118" s="420"/>
      <c r="I118" s="420"/>
    </row>
    <row r="119" spans="1:9" x14ac:dyDescent="0.2">
      <c r="A119" s="148">
        <f>+A115+1</f>
        <v>2</v>
      </c>
      <c r="B119" s="9" t="s">
        <v>244</v>
      </c>
      <c r="C119" s="171"/>
      <c r="D119" s="150"/>
      <c r="E119" s="151"/>
      <c r="F119" s="152"/>
      <c r="G119" s="152"/>
      <c r="H119" s="420"/>
      <c r="I119" s="420"/>
    </row>
    <row r="120" spans="1:9" x14ac:dyDescent="0.2">
      <c r="A120" s="148"/>
      <c r="B120" s="9" t="s">
        <v>289</v>
      </c>
      <c r="C120" s="171"/>
      <c r="D120" s="150">
        <f>0.65*2.1*2*1</f>
        <v>2.7300000000000004</v>
      </c>
      <c r="E120" s="151" t="s">
        <v>23</v>
      </c>
      <c r="F120" s="152">
        <v>1035309</v>
      </c>
      <c r="G120" s="152">
        <f t="shared" si="3"/>
        <v>2826393.5700000003</v>
      </c>
      <c r="H120" s="420">
        <f t="shared" si="1"/>
        <v>76.689555555555557</v>
      </c>
      <c r="I120" s="420">
        <f t="shared" si="2"/>
        <v>209.36248666666671</v>
      </c>
    </row>
    <row r="121" spans="1:9" x14ac:dyDescent="0.2">
      <c r="A121" s="212"/>
      <c r="B121" s="186" t="s">
        <v>290</v>
      </c>
      <c r="C121" s="213"/>
      <c r="D121" s="165">
        <f>1*0.6*2*5</f>
        <v>6</v>
      </c>
      <c r="E121" s="166" t="s">
        <v>23</v>
      </c>
      <c r="F121" s="167">
        <v>1035309</v>
      </c>
      <c r="G121" s="152">
        <f t="shared" si="3"/>
        <v>6211854</v>
      </c>
      <c r="H121" s="420">
        <f t="shared" si="1"/>
        <v>76.689555555555557</v>
      </c>
      <c r="I121" s="420">
        <f t="shared" si="2"/>
        <v>460.13733333333334</v>
      </c>
    </row>
    <row r="122" spans="1:9" x14ac:dyDescent="0.2">
      <c r="A122" s="212"/>
      <c r="B122" s="186" t="s">
        <v>291</v>
      </c>
      <c r="C122" s="213"/>
      <c r="D122" s="165">
        <f>(0.65*1*5)+(0.6*1*2*5)</f>
        <v>9.25</v>
      </c>
      <c r="E122" s="166" t="s">
        <v>23</v>
      </c>
      <c r="F122" s="167">
        <v>164626</v>
      </c>
      <c r="G122" s="152">
        <f t="shared" si="3"/>
        <v>1522790.5</v>
      </c>
      <c r="H122" s="420">
        <f t="shared" si="1"/>
        <v>12.194518518518519</v>
      </c>
      <c r="I122" s="420">
        <f t="shared" si="2"/>
        <v>112.7992962962963</v>
      </c>
    </row>
    <row r="123" spans="1:9" x14ac:dyDescent="0.2">
      <c r="A123" s="212"/>
      <c r="B123" s="186" t="s">
        <v>138</v>
      </c>
      <c r="C123" s="213"/>
      <c r="D123" s="165">
        <v>1</v>
      </c>
      <c r="E123" s="166" t="s">
        <v>100</v>
      </c>
      <c r="F123" s="167">
        <v>295869.2</v>
      </c>
      <c r="G123" s="152">
        <f t="shared" si="3"/>
        <v>295869.2</v>
      </c>
      <c r="H123" s="420">
        <f t="shared" si="1"/>
        <v>21.916237037037039</v>
      </c>
      <c r="I123" s="420">
        <f t="shared" si="2"/>
        <v>21.916237037037039</v>
      </c>
    </row>
    <row r="124" spans="1:9" x14ac:dyDescent="0.2">
      <c r="A124" s="212"/>
      <c r="B124" s="407" t="s">
        <v>245</v>
      </c>
      <c r="C124" s="213"/>
      <c r="D124" s="165">
        <f>D123*2</f>
        <v>2</v>
      </c>
      <c r="E124" s="166" t="s">
        <v>100</v>
      </c>
      <c r="F124" s="167">
        <v>90792.9</v>
      </c>
      <c r="G124" s="152">
        <f t="shared" si="3"/>
        <v>181585.8</v>
      </c>
      <c r="H124" s="420">
        <f t="shared" si="1"/>
        <v>6.7253999999999996</v>
      </c>
      <c r="I124" s="420">
        <f t="shared" si="2"/>
        <v>13.450799999999999</v>
      </c>
    </row>
    <row r="125" spans="1:9" x14ac:dyDescent="0.2">
      <c r="A125" s="212"/>
      <c r="B125" s="186" t="s">
        <v>246</v>
      </c>
      <c r="C125" s="213"/>
      <c r="D125" s="165">
        <f>5*2</f>
        <v>10</v>
      </c>
      <c r="E125" s="166" t="s">
        <v>100</v>
      </c>
      <c r="F125" s="167">
        <v>104660.6</v>
      </c>
      <c r="G125" s="152">
        <f t="shared" si="3"/>
        <v>1046606</v>
      </c>
      <c r="H125" s="420">
        <f t="shared" si="1"/>
        <v>7.7526370370370374</v>
      </c>
      <c r="I125" s="420">
        <f t="shared" si="2"/>
        <v>77.526370370370373</v>
      </c>
    </row>
    <row r="126" spans="1:9" x14ac:dyDescent="0.2">
      <c r="A126" s="212"/>
      <c r="B126" s="186" t="s">
        <v>247</v>
      </c>
      <c r="C126" s="213"/>
      <c r="D126" s="165">
        <f>D125</f>
        <v>10</v>
      </c>
      <c r="E126" s="166" t="s">
        <v>22</v>
      </c>
      <c r="F126" s="167">
        <v>50582.400000000001</v>
      </c>
      <c r="G126" s="152">
        <f t="shared" si="3"/>
        <v>505824</v>
      </c>
      <c r="H126" s="420">
        <f t="shared" si="1"/>
        <v>3.7468444444444446</v>
      </c>
      <c r="I126" s="420">
        <f t="shared" si="2"/>
        <v>37.468444444444444</v>
      </c>
    </row>
    <row r="127" spans="1:9" x14ac:dyDescent="0.2">
      <c r="A127" s="148"/>
      <c r="B127" s="186" t="s">
        <v>292</v>
      </c>
      <c r="C127" s="171"/>
      <c r="D127" s="150">
        <f>D126*2</f>
        <v>20</v>
      </c>
      <c r="E127" s="151" t="s">
        <v>100</v>
      </c>
      <c r="F127" s="152">
        <v>39882.699999999997</v>
      </c>
      <c r="G127" s="152">
        <f t="shared" si="3"/>
        <v>797654</v>
      </c>
      <c r="H127" s="420">
        <f t="shared" si="1"/>
        <v>2.9542740740740738</v>
      </c>
      <c r="I127" s="420">
        <f t="shared" si="2"/>
        <v>59.08548148148148</v>
      </c>
    </row>
    <row r="128" spans="1:9" x14ac:dyDescent="0.2">
      <c r="A128" s="163"/>
      <c r="B128" s="119"/>
      <c r="C128" s="164"/>
      <c r="D128" s="165"/>
      <c r="E128" s="166"/>
      <c r="F128" s="167"/>
      <c r="G128" s="167"/>
      <c r="H128" s="421"/>
      <c r="I128" s="421"/>
    </row>
    <row r="129" spans="1:9" x14ac:dyDescent="0.2">
      <c r="A129" s="153"/>
      <c r="B129" s="154"/>
      <c r="C129" s="157" t="s">
        <v>278</v>
      </c>
      <c r="D129" s="155"/>
      <c r="E129" s="156"/>
      <c r="F129" s="157"/>
      <c r="G129" s="158">
        <f>SUM(G116:G128)</f>
        <v>19556724.84502</v>
      </c>
      <c r="H129" s="422"/>
      <c r="I129" s="422">
        <f>SUM(I116:I127)</f>
        <v>1448.6462848162964</v>
      </c>
    </row>
    <row r="130" spans="1:9" x14ac:dyDescent="0.2">
      <c r="A130" s="142" t="s">
        <v>40</v>
      </c>
      <c r="B130" s="143" t="s">
        <v>189</v>
      </c>
      <c r="C130" s="159"/>
      <c r="D130" s="145"/>
      <c r="E130" s="146"/>
      <c r="F130" s="147"/>
      <c r="G130" s="147"/>
      <c r="H130" s="419"/>
      <c r="I130" s="419"/>
    </row>
    <row r="131" spans="1:9" x14ac:dyDescent="0.2">
      <c r="A131" s="148" t="s">
        <v>31</v>
      </c>
      <c r="B131" s="376" t="s">
        <v>267</v>
      </c>
      <c r="C131" s="149"/>
      <c r="D131" s="150">
        <f>D92</f>
        <v>297.06</v>
      </c>
      <c r="E131" s="151" t="s">
        <v>23</v>
      </c>
      <c r="F131" s="152">
        <v>29327.1</v>
      </c>
      <c r="G131" s="152">
        <f>F131*D131</f>
        <v>8711908.3259999994</v>
      </c>
      <c r="H131" s="420">
        <f t="shared" si="1"/>
        <v>2.1723777777777777</v>
      </c>
      <c r="I131" s="420">
        <f t="shared" si="2"/>
        <v>645.32654266666668</v>
      </c>
    </row>
    <row r="132" spans="1:9" x14ac:dyDescent="0.2">
      <c r="A132" s="148" t="s">
        <v>32</v>
      </c>
      <c r="B132" s="1" t="s">
        <v>268</v>
      </c>
      <c r="C132" s="149"/>
      <c r="D132" s="150">
        <f>D111</f>
        <v>116</v>
      </c>
      <c r="E132" s="151" t="s">
        <v>23</v>
      </c>
      <c r="F132" s="152">
        <v>29327.1</v>
      </c>
      <c r="G132" s="152">
        <f>F132*D132</f>
        <v>3401943.5999999996</v>
      </c>
      <c r="H132" s="420">
        <f t="shared" si="1"/>
        <v>2.1723777777777777</v>
      </c>
      <c r="I132" s="420">
        <f t="shared" si="2"/>
        <v>251.99582222222222</v>
      </c>
    </row>
    <row r="133" spans="1:9" x14ac:dyDescent="0.2">
      <c r="A133" s="148" t="s">
        <v>87</v>
      </c>
      <c r="B133" s="119" t="s">
        <v>269</v>
      </c>
      <c r="C133" s="164"/>
      <c r="D133" s="165">
        <f>90.69/3</f>
        <v>30.23</v>
      </c>
      <c r="E133" s="166" t="s">
        <v>23</v>
      </c>
      <c r="F133" s="167">
        <v>65923</v>
      </c>
      <c r="G133" s="152">
        <f>F133*D133</f>
        <v>1992852.29</v>
      </c>
      <c r="H133" s="420">
        <f t="shared" si="1"/>
        <v>4.8831851851851855</v>
      </c>
      <c r="I133" s="420">
        <f t="shared" si="2"/>
        <v>147.61868814814815</v>
      </c>
    </row>
    <row r="134" spans="1:9" x14ac:dyDescent="0.2">
      <c r="A134" s="163"/>
      <c r="B134" s="119"/>
      <c r="C134" s="164"/>
      <c r="D134" s="165"/>
      <c r="E134" s="166"/>
      <c r="F134" s="167"/>
      <c r="G134" s="167"/>
      <c r="H134" s="421"/>
      <c r="I134" s="421"/>
    </row>
    <row r="135" spans="1:9" x14ac:dyDescent="0.2">
      <c r="A135" s="153"/>
      <c r="B135" s="154"/>
      <c r="C135" s="157" t="s">
        <v>279</v>
      </c>
      <c r="D135" s="155"/>
      <c r="E135" s="156"/>
      <c r="F135" s="157"/>
      <c r="G135" s="158">
        <f>SUM(G131:G134)</f>
        <v>14106704.215999998</v>
      </c>
      <c r="H135" s="422"/>
      <c r="I135" s="422">
        <f>SUM(I131:I133)</f>
        <v>1044.9410530370369</v>
      </c>
    </row>
    <row r="136" spans="1:9" ht="15" customHeight="1" x14ac:dyDescent="0.2">
      <c r="A136" s="142" t="s">
        <v>41</v>
      </c>
      <c r="B136" s="143" t="s">
        <v>190</v>
      </c>
      <c r="C136" s="159"/>
      <c r="D136" s="145"/>
      <c r="E136" s="146"/>
      <c r="F136" s="147"/>
      <c r="G136" s="147"/>
      <c r="H136" s="419"/>
      <c r="I136" s="419"/>
    </row>
    <row r="137" spans="1:9" ht="15" customHeight="1" x14ac:dyDescent="0.2">
      <c r="A137" s="148">
        <v>1</v>
      </c>
      <c r="B137" s="411" t="s">
        <v>492</v>
      </c>
      <c r="C137" s="149"/>
      <c r="D137" s="150">
        <v>4</v>
      </c>
      <c r="E137" s="151" t="s">
        <v>100</v>
      </c>
      <c r="F137" s="152">
        <v>82500</v>
      </c>
      <c r="G137" s="152">
        <f t="shared" ref="G137:G142" si="4">F137*D137</f>
        <v>330000</v>
      </c>
      <c r="H137" s="420">
        <f t="shared" si="1"/>
        <v>6.1111111111111107</v>
      </c>
      <c r="I137" s="420">
        <f t="shared" si="2"/>
        <v>24.444444444444443</v>
      </c>
    </row>
    <row r="138" spans="1:9" ht="15" customHeight="1" x14ac:dyDescent="0.2">
      <c r="A138" s="148">
        <v>2</v>
      </c>
      <c r="B138" s="375" t="s">
        <v>270</v>
      </c>
      <c r="C138" s="149"/>
      <c r="D138" s="150">
        <v>2</v>
      </c>
      <c r="E138" s="408" t="s">
        <v>489</v>
      </c>
      <c r="F138" s="152">
        <v>38500</v>
      </c>
      <c r="G138" s="152">
        <f t="shared" si="4"/>
        <v>77000</v>
      </c>
      <c r="H138" s="420">
        <f t="shared" si="1"/>
        <v>2.8518518518518516</v>
      </c>
      <c r="I138" s="420">
        <f t="shared" si="2"/>
        <v>5.7037037037037033</v>
      </c>
    </row>
    <row r="139" spans="1:9" ht="15" customHeight="1" x14ac:dyDescent="0.2">
      <c r="A139" s="148">
        <f>A138+1</f>
        <v>3</v>
      </c>
      <c r="B139" s="1" t="s">
        <v>271</v>
      </c>
      <c r="C139" s="149"/>
      <c r="D139" s="150">
        <v>2</v>
      </c>
      <c r="E139" s="408" t="s">
        <v>489</v>
      </c>
      <c r="F139" s="152">
        <v>38500</v>
      </c>
      <c r="G139" s="152">
        <f t="shared" si="4"/>
        <v>77000</v>
      </c>
      <c r="H139" s="420">
        <f t="shared" ref="H139:H149" si="5">F139/13500</f>
        <v>2.8518518518518516</v>
      </c>
      <c r="I139" s="420">
        <f t="shared" ref="I139:I149" si="6">H139*D139</f>
        <v>5.7037037037037033</v>
      </c>
    </row>
    <row r="140" spans="1:9" ht="15" customHeight="1" x14ac:dyDescent="0.2">
      <c r="A140" s="148">
        <f>A139+1</f>
        <v>4</v>
      </c>
      <c r="B140" s="376" t="s">
        <v>272</v>
      </c>
      <c r="C140" s="149"/>
      <c r="D140" s="150">
        <f>D139+D138</f>
        <v>4</v>
      </c>
      <c r="E140" s="408" t="s">
        <v>489</v>
      </c>
      <c r="F140" s="152">
        <v>275000</v>
      </c>
      <c r="G140" s="152">
        <f t="shared" si="4"/>
        <v>1100000</v>
      </c>
      <c r="H140" s="420">
        <f t="shared" si="5"/>
        <v>20.37037037037037</v>
      </c>
      <c r="I140" s="420">
        <f t="shared" si="6"/>
        <v>81.481481481481481</v>
      </c>
    </row>
    <row r="141" spans="1:9" ht="15" customHeight="1" x14ac:dyDescent="0.2">
      <c r="A141" s="148">
        <f>A140+1</f>
        <v>5</v>
      </c>
      <c r="B141" s="1" t="s">
        <v>273</v>
      </c>
      <c r="C141" s="149"/>
      <c r="D141" s="150">
        <v>1</v>
      </c>
      <c r="E141" s="151" t="s">
        <v>100</v>
      </c>
      <c r="F141" s="152">
        <v>550000</v>
      </c>
      <c r="G141" s="152">
        <f t="shared" si="4"/>
        <v>550000</v>
      </c>
      <c r="H141" s="420">
        <f t="shared" si="5"/>
        <v>40.74074074074074</v>
      </c>
      <c r="I141" s="420">
        <f t="shared" si="6"/>
        <v>40.74074074074074</v>
      </c>
    </row>
    <row r="142" spans="1:9" ht="15" customHeight="1" x14ac:dyDescent="0.2">
      <c r="A142" s="148">
        <f>A141+1</f>
        <v>6</v>
      </c>
      <c r="B142" s="1" t="s">
        <v>274</v>
      </c>
      <c r="C142" s="149"/>
      <c r="D142" s="150">
        <v>1</v>
      </c>
      <c r="E142" s="151" t="s">
        <v>100</v>
      </c>
      <c r="F142" s="152">
        <v>330000</v>
      </c>
      <c r="G142" s="152">
        <f t="shared" si="4"/>
        <v>330000</v>
      </c>
      <c r="H142" s="420">
        <f t="shared" si="5"/>
        <v>24.444444444444443</v>
      </c>
      <c r="I142" s="420">
        <f t="shared" si="6"/>
        <v>24.444444444444443</v>
      </c>
    </row>
    <row r="143" spans="1:9" ht="15" customHeight="1" x14ac:dyDescent="0.2">
      <c r="A143" s="163"/>
      <c r="B143" s="119"/>
      <c r="C143" s="164"/>
      <c r="D143" s="165"/>
      <c r="E143" s="166"/>
      <c r="F143" s="167"/>
      <c r="G143" s="167"/>
      <c r="H143" s="421"/>
      <c r="I143" s="421"/>
    </row>
    <row r="144" spans="1:9" ht="15" customHeight="1" x14ac:dyDescent="0.2">
      <c r="A144" s="153"/>
      <c r="B144" s="154"/>
      <c r="C144" s="157" t="s">
        <v>280</v>
      </c>
      <c r="D144" s="155"/>
      <c r="E144" s="156"/>
      <c r="F144" s="157"/>
      <c r="G144" s="158">
        <f>SUM(G137:G143)</f>
        <v>2464000</v>
      </c>
      <c r="H144" s="422"/>
      <c r="I144" s="422">
        <f>SUM(I137:I142)</f>
        <v>182.51851851851853</v>
      </c>
    </row>
    <row r="145" spans="1:9" x14ac:dyDescent="0.2">
      <c r="A145" s="142" t="s">
        <v>54</v>
      </c>
      <c r="B145" s="143" t="s">
        <v>191</v>
      </c>
      <c r="C145" s="144"/>
      <c r="D145" s="145"/>
      <c r="E145" s="146"/>
      <c r="F145" s="147"/>
      <c r="G145" s="147"/>
      <c r="H145" s="419"/>
      <c r="I145" s="419"/>
    </row>
    <row r="146" spans="1:9" s="185" customFormat="1" x14ac:dyDescent="0.2">
      <c r="A146" s="181">
        <v>1</v>
      </c>
      <c r="B146" s="9" t="s">
        <v>275</v>
      </c>
      <c r="C146" s="182"/>
      <c r="D146" s="183">
        <f>6.09*10*2</f>
        <v>121.8</v>
      </c>
      <c r="E146" s="184" t="s">
        <v>23</v>
      </c>
      <c r="F146" s="161">
        <v>271591.09999999998</v>
      </c>
      <c r="G146" s="152">
        <f>F146*D146</f>
        <v>33079795.979999997</v>
      </c>
      <c r="H146" s="420">
        <f t="shared" si="5"/>
        <v>20.117859259259259</v>
      </c>
      <c r="I146" s="420">
        <f t="shared" si="6"/>
        <v>2450.3552577777778</v>
      </c>
    </row>
    <row r="147" spans="1:9" s="185" customFormat="1" x14ac:dyDescent="0.2">
      <c r="A147" s="181">
        <f>A146+1</f>
        <v>2</v>
      </c>
      <c r="B147" s="186" t="s">
        <v>276</v>
      </c>
      <c r="C147" s="187"/>
      <c r="D147" s="188">
        <f>D146</f>
        <v>121.8</v>
      </c>
      <c r="E147" s="189" t="s">
        <v>37</v>
      </c>
      <c r="F147" s="190">
        <v>177871.1</v>
      </c>
      <c r="G147" s="152">
        <f>F147*D147</f>
        <v>21664699.98</v>
      </c>
      <c r="H147" s="420">
        <f t="shared" si="5"/>
        <v>13.175637037037037</v>
      </c>
      <c r="I147" s="420">
        <f t="shared" si="6"/>
        <v>1604.7925911111111</v>
      </c>
    </row>
    <row r="148" spans="1:9" s="185" customFormat="1" x14ac:dyDescent="0.2">
      <c r="A148" s="181">
        <f>A147+1</f>
        <v>3</v>
      </c>
      <c r="B148" s="186" t="s">
        <v>277</v>
      </c>
      <c r="C148" s="187"/>
      <c r="D148" s="188">
        <v>10</v>
      </c>
      <c r="E148" s="189" t="s">
        <v>37</v>
      </c>
      <c r="F148" s="190">
        <v>115119.4</v>
      </c>
      <c r="G148" s="152">
        <f>F148*D148</f>
        <v>1151194</v>
      </c>
      <c r="H148" s="420">
        <f t="shared" si="5"/>
        <v>8.5273629629629628</v>
      </c>
      <c r="I148" s="420">
        <f t="shared" si="6"/>
        <v>85.273629629629625</v>
      </c>
    </row>
    <row r="149" spans="1:9" s="185" customFormat="1" x14ac:dyDescent="0.2">
      <c r="A149" s="181">
        <f>A148+1</f>
        <v>4</v>
      </c>
      <c r="B149" s="412" t="s">
        <v>121</v>
      </c>
      <c r="C149" s="187"/>
      <c r="D149" s="188">
        <f>12+12+26+26</f>
        <v>76</v>
      </c>
      <c r="E149" s="189" t="str">
        <f>E147</f>
        <v>M'</v>
      </c>
      <c r="F149" s="190">
        <v>60500</v>
      </c>
      <c r="G149" s="152">
        <f>F149*D149</f>
        <v>4598000</v>
      </c>
      <c r="H149" s="420">
        <f t="shared" si="5"/>
        <v>4.4814814814814818</v>
      </c>
      <c r="I149" s="420">
        <f t="shared" si="6"/>
        <v>340.59259259259261</v>
      </c>
    </row>
    <row r="150" spans="1:9" x14ac:dyDescent="0.2">
      <c r="A150" s="163"/>
      <c r="B150" s="119"/>
      <c r="C150" s="164"/>
      <c r="D150" s="165"/>
      <c r="E150" s="166"/>
      <c r="F150" s="167"/>
      <c r="G150" s="161"/>
      <c r="H150" s="167"/>
      <c r="I150" s="161"/>
    </row>
    <row r="151" spans="1:9" ht="15.75" thickBot="1" x14ac:dyDescent="0.25">
      <c r="A151" s="153"/>
      <c r="B151" s="154"/>
      <c r="C151" s="157" t="s">
        <v>281</v>
      </c>
      <c r="D151" s="155"/>
      <c r="E151" s="156"/>
      <c r="F151" s="157"/>
      <c r="G151" s="158">
        <f>SUM(G146:G150)</f>
        <v>60493689.959999993</v>
      </c>
      <c r="H151" s="157"/>
      <c r="I151" s="158">
        <f>SUM(I146:I150)</f>
        <v>4481.0140711111108</v>
      </c>
    </row>
    <row r="152" spans="1:9" ht="15.75" thickTop="1" x14ac:dyDescent="0.2">
      <c r="A152" s="191"/>
      <c r="B152" s="192"/>
      <c r="C152" s="192"/>
      <c r="D152" s="192"/>
      <c r="E152" s="192"/>
      <c r="F152" s="192"/>
      <c r="G152" s="193"/>
    </row>
  </sheetData>
  <mergeCells count="16">
    <mergeCell ref="B93:C93"/>
    <mergeCell ref="E30:G30"/>
    <mergeCell ref="A1:G1"/>
    <mergeCell ref="A2:G2"/>
    <mergeCell ref="A8:A9"/>
    <mergeCell ref="B8:C9"/>
    <mergeCell ref="D8:E9"/>
    <mergeCell ref="A71:A72"/>
    <mergeCell ref="B71:C72"/>
    <mergeCell ref="D71:E72"/>
    <mergeCell ref="E31:G31"/>
    <mergeCell ref="E32:G32"/>
    <mergeCell ref="E33:G33"/>
    <mergeCell ref="E35:G35"/>
    <mergeCell ref="E37:G37"/>
    <mergeCell ref="A66:G66"/>
  </mergeCells>
  <printOptions horizontalCentered="1" verticalCentered="1"/>
  <pageMargins left="0.5" right="0.25" top="0.25" bottom="0.25" header="0.5" footer="0.5"/>
  <pageSetup paperSize="9" scale="85" orientation="portrait" horizontalDpi="4294967293" verticalDpi="4294967293" r:id="rId1"/>
  <headerFooter alignWithMargins="0"/>
  <rowBreaks count="6" manualBreakCount="6">
    <brk id="399" max="65535" man="1"/>
    <brk id="456" max="65535" man="1"/>
    <brk id="477" max="65535" man="1"/>
    <brk id="506" max="65535" man="1"/>
    <brk id="555" max="65535" man="1"/>
    <brk id="621" max="655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5"/>
  <sheetViews>
    <sheetView workbookViewId="0">
      <selection activeCell="C6" sqref="C6"/>
    </sheetView>
  </sheetViews>
  <sheetFormatPr defaultRowHeight="12.75" x14ac:dyDescent="0.2"/>
  <cols>
    <col min="1" max="1" width="4.140625" customWidth="1"/>
    <col min="2" max="2" width="6.7109375" customWidth="1"/>
    <col min="3" max="3" width="37.5703125" customWidth="1"/>
    <col min="4" max="5" width="4.7109375" customWidth="1"/>
    <col min="6" max="6" width="5.28515625" customWidth="1"/>
    <col min="7" max="7" width="26.28515625" customWidth="1"/>
    <col min="8" max="8" width="13" customWidth="1"/>
    <col min="9" max="9" width="15.28515625" customWidth="1"/>
    <col min="10" max="10" width="10" bestFit="1" customWidth="1"/>
    <col min="11" max="11" width="10" customWidth="1"/>
    <col min="12" max="12" width="12.5703125" bestFit="1" customWidth="1"/>
    <col min="13" max="13" width="13.85546875" customWidth="1"/>
    <col min="252" max="253" width="4.140625" customWidth="1"/>
    <col min="254" max="254" width="35.85546875" customWidth="1"/>
    <col min="255" max="256" width="4.7109375" customWidth="1"/>
    <col min="257" max="257" width="12.85546875" customWidth="1"/>
    <col min="258" max="258" width="11.140625" customWidth="1"/>
    <col min="259" max="259" width="12.85546875" customWidth="1"/>
    <col min="260" max="260" width="7" customWidth="1"/>
    <col min="261" max="261" width="26.85546875" customWidth="1"/>
    <col min="262" max="262" width="14.28515625" bestFit="1" customWidth="1"/>
    <col min="263" max="264" width="11.140625" bestFit="1" customWidth="1"/>
    <col min="265" max="265" width="11.28515625" customWidth="1"/>
    <col min="508" max="509" width="4.140625" customWidth="1"/>
    <col min="510" max="510" width="35.85546875" customWidth="1"/>
    <col min="511" max="512" width="4.7109375" customWidth="1"/>
    <col min="513" max="513" width="12.85546875" customWidth="1"/>
    <col min="514" max="514" width="11.140625" customWidth="1"/>
    <col min="515" max="515" width="12.85546875" customWidth="1"/>
    <col min="516" max="516" width="7" customWidth="1"/>
    <col min="517" max="517" width="26.85546875" customWidth="1"/>
    <col min="518" max="518" width="14.28515625" bestFit="1" customWidth="1"/>
    <col min="519" max="520" width="11.140625" bestFit="1" customWidth="1"/>
    <col min="521" max="521" width="11.28515625" customWidth="1"/>
    <col min="764" max="765" width="4.140625" customWidth="1"/>
    <col min="766" max="766" width="35.85546875" customWidth="1"/>
    <col min="767" max="768" width="4.7109375" customWidth="1"/>
    <col min="769" max="769" width="12.85546875" customWidth="1"/>
    <col min="770" max="770" width="11.140625" customWidth="1"/>
    <col min="771" max="771" width="12.85546875" customWidth="1"/>
    <col min="772" max="772" width="7" customWidth="1"/>
    <col min="773" max="773" width="26.85546875" customWidth="1"/>
    <col min="774" max="774" width="14.28515625" bestFit="1" customWidth="1"/>
    <col min="775" max="776" width="11.140625" bestFit="1" customWidth="1"/>
    <col min="777" max="777" width="11.28515625" customWidth="1"/>
    <col min="1020" max="1021" width="4.140625" customWidth="1"/>
    <col min="1022" max="1022" width="35.85546875" customWidth="1"/>
    <col min="1023" max="1024" width="4.7109375" customWidth="1"/>
    <col min="1025" max="1025" width="12.85546875" customWidth="1"/>
    <col min="1026" max="1026" width="11.140625" customWidth="1"/>
    <col min="1027" max="1027" width="12.85546875" customWidth="1"/>
    <col min="1028" max="1028" width="7" customWidth="1"/>
    <col min="1029" max="1029" width="26.85546875" customWidth="1"/>
    <col min="1030" max="1030" width="14.28515625" bestFit="1" customWidth="1"/>
    <col min="1031" max="1032" width="11.140625" bestFit="1" customWidth="1"/>
    <col min="1033" max="1033" width="11.28515625" customWidth="1"/>
    <col min="1276" max="1277" width="4.140625" customWidth="1"/>
    <col min="1278" max="1278" width="35.85546875" customWidth="1"/>
    <col min="1279" max="1280" width="4.7109375" customWidth="1"/>
    <col min="1281" max="1281" width="12.85546875" customWidth="1"/>
    <col min="1282" max="1282" width="11.140625" customWidth="1"/>
    <col min="1283" max="1283" width="12.85546875" customWidth="1"/>
    <col min="1284" max="1284" width="7" customWidth="1"/>
    <col min="1285" max="1285" width="26.85546875" customWidth="1"/>
    <col min="1286" max="1286" width="14.28515625" bestFit="1" customWidth="1"/>
    <col min="1287" max="1288" width="11.140625" bestFit="1" customWidth="1"/>
    <col min="1289" max="1289" width="11.28515625" customWidth="1"/>
    <col min="1532" max="1533" width="4.140625" customWidth="1"/>
    <col min="1534" max="1534" width="35.85546875" customWidth="1"/>
    <col min="1535" max="1536" width="4.7109375" customWidth="1"/>
    <col min="1537" max="1537" width="12.85546875" customWidth="1"/>
    <col min="1538" max="1538" width="11.140625" customWidth="1"/>
    <col min="1539" max="1539" width="12.85546875" customWidth="1"/>
    <col min="1540" max="1540" width="7" customWidth="1"/>
    <col min="1541" max="1541" width="26.85546875" customWidth="1"/>
    <col min="1542" max="1542" width="14.28515625" bestFit="1" customWidth="1"/>
    <col min="1543" max="1544" width="11.140625" bestFit="1" customWidth="1"/>
    <col min="1545" max="1545" width="11.28515625" customWidth="1"/>
    <col min="1788" max="1789" width="4.140625" customWidth="1"/>
    <col min="1790" max="1790" width="35.85546875" customWidth="1"/>
    <col min="1791" max="1792" width="4.7109375" customWidth="1"/>
    <col min="1793" max="1793" width="12.85546875" customWidth="1"/>
    <col min="1794" max="1794" width="11.140625" customWidth="1"/>
    <col min="1795" max="1795" width="12.85546875" customWidth="1"/>
    <col min="1796" max="1796" width="7" customWidth="1"/>
    <col min="1797" max="1797" width="26.85546875" customWidth="1"/>
    <col min="1798" max="1798" width="14.28515625" bestFit="1" customWidth="1"/>
    <col min="1799" max="1800" width="11.140625" bestFit="1" customWidth="1"/>
    <col min="1801" max="1801" width="11.28515625" customWidth="1"/>
    <col min="2044" max="2045" width="4.140625" customWidth="1"/>
    <col min="2046" max="2046" width="35.85546875" customWidth="1"/>
    <col min="2047" max="2048" width="4.7109375" customWidth="1"/>
    <col min="2049" max="2049" width="12.85546875" customWidth="1"/>
    <col min="2050" max="2050" width="11.140625" customWidth="1"/>
    <col min="2051" max="2051" width="12.85546875" customWidth="1"/>
    <col min="2052" max="2052" width="7" customWidth="1"/>
    <col min="2053" max="2053" width="26.85546875" customWidth="1"/>
    <col min="2054" max="2054" width="14.28515625" bestFit="1" customWidth="1"/>
    <col min="2055" max="2056" width="11.140625" bestFit="1" customWidth="1"/>
    <col min="2057" max="2057" width="11.28515625" customWidth="1"/>
    <col min="2300" max="2301" width="4.140625" customWidth="1"/>
    <col min="2302" max="2302" width="35.85546875" customWidth="1"/>
    <col min="2303" max="2304" width="4.7109375" customWidth="1"/>
    <col min="2305" max="2305" width="12.85546875" customWidth="1"/>
    <col min="2306" max="2306" width="11.140625" customWidth="1"/>
    <col min="2307" max="2307" width="12.85546875" customWidth="1"/>
    <col min="2308" max="2308" width="7" customWidth="1"/>
    <col min="2309" max="2309" width="26.85546875" customWidth="1"/>
    <col min="2310" max="2310" width="14.28515625" bestFit="1" customWidth="1"/>
    <col min="2311" max="2312" width="11.140625" bestFit="1" customWidth="1"/>
    <col min="2313" max="2313" width="11.28515625" customWidth="1"/>
    <col min="2556" max="2557" width="4.140625" customWidth="1"/>
    <col min="2558" max="2558" width="35.85546875" customWidth="1"/>
    <col min="2559" max="2560" width="4.7109375" customWidth="1"/>
    <col min="2561" max="2561" width="12.85546875" customWidth="1"/>
    <col min="2562" max="2562" width="11.140625" customWidth="1"/>
    <col min="2563" max="2563" width="12.85546875" customWidth="1"/>
    <col min="2564" max="2564" width="7" customWidth="1"/>
    <col min="2565" max="2565" width="26.85546875" customWidth="1"/>
    <col min="2566" max="2566" width="14.28515625" bestFit="1" customWidth="1"/>
    <col min="2567" max="2568" width="11.140625" bestFit="1" customWidth="1"/>
    <col min="2569" max="2569" width="11.28515625" customWidth="1"/>
    <col min="2812" max="2813" width="4.140625" customWidth="1"/>
    <col min="2814" max="2814" width="35.85546875" customWidth="1"/>
    <col min="2815" max="2816" width="4.7109375" customWidth="1"/>
    <col min="2817" max="2817" width="12.85546875" customWidth="1"/>
    <col min="2818" max="2818" width="11.140625" customWidth="1"/>
    <col min="2819" max="2819" width="12.85546875" customWidth="1"/>
    <col min="2820" max="2820" width="7" customWidth="1"/>
    <col min="2821" max="2821" width="26.85546875" customWidth="1"/>
    <col min="2822" max="2822" width="14.28515625" bestFit="1" customWidth="1"/>
    <col min="2823" max="2824" width="11.140625" bestFit="1" customWidth="1"/>
    <col min="2825" max="2825" width="11.28515625" customWidth="1"/>
    <col min="3068" max="3069" width="4.140625" customWidth="1"/>
    <col min="3070" max="3070" width="35.85546875" customWidth="1"/>
    <col min="3071" max="3072" width="4.7109375" customWidth="1"/>
    <col min="3073" max="3073" width="12.85546875" customWidth="1"/>
    <col min="3074" max="3074" width="11.140625" customWidth="1"/>
    <col min="3075" max="3075" width="12.85546875" customWidth="1"/>
    <col min="3076" max="3076" width="7" customWidth="1"/>
    <col min="3077" max="3077" width="26.85546875" customWidth="1"/>
    <col min="3078" max="3078" width="14.28515625" bestFit="1" customWidth="1"/>
    <col min="3079" max="3080" width="11.140625" bestFit="1" customWidth="1"/>
    <col min="3081" max="3081" width="11.28515625" customWidth="1"/>
    <col min="3324" max="3325" width="4.140625" customWidth="1"/>
    <col min="3326" max="3326" width="35.85546875" customWidth="1"/>
    <col min="3327" max="3328" width="4.7109375" customWidth="1"/>
    <col min="3329" max="3329" width="12.85546875" customWidth="1"/>
    <col min="3330" max="3330" width="11.140625" customWidth="1"/>
    <col min="3331" max="3331" width="12.85546875" customWidth="1"/>
    <col min="3332" max="3332" width="7" customWidth="1"/>
    <col min="3333" max="3333" width="26.85546875" customWidth="1"/>
    <col min="3334" max="3334" width="14.28515625" bestFit="1" customWidth="1"/>
    <col min="3335" max="3336" width="11.140625" bestFit="1" customWidth="1"/>
    <col min="3337" max="3337" width="11.28515625" customWidth="1"/>
    <col min="3580" max="3581" width="4.140625" customWidth="1"/>
    <col min="3582" max="3582" width="35.85546875" customWidth="1"/>
    <col min="3583" max="3584" width="4.7109375" customWidth="1"/>
    <col min="3585" max="3585" width="12.85546875" customWidth="1"/>
    <col min="3586" max="3586" width="11.140625" customWidth="1"/>
    <col min="3587" max="3587" width="12.85546875" customWidth="1"/>
    <col min="3588" max="3588" width="7" customWidth="1"/>
    <col min="3589" max="3589" width="26.85546875" customWidth="1"/>
    <col min="3590" max="3590" width="14.28515625" bestFit="1" customWidth="1"/>
    <col min="3591" max="3592" width="11.140625" bestFit="1" customWidth="1"/>
    <col min="3593" max="3593" width="11.28515625" customWidth="1"/>
    <col min="3836" max="3837" width="4.140625" customWidth="1"/>
    <col min="3838" max="3838" width="35.85546875" customWidth="1"/>
    <col min="3839" max="3840" width="4.7109375" customWidth="1"/>
    <col min="3841" max="3841" width="12.85546875" customWidth="1"/>
    <col min="3842" max="3842" width="11.140625" customWidth="1"/>
    <col min="3843" max="3843" width="12.85546875" customWidth="1"/>
    <col min="3844" max="3844" width="7" customWidth="1"/>
    <col min="3845" max="3845" width="26.85546875" customWidth="1"/>
    <col min="3846" max="3846" width="14.28515625" bestFit="1" customWidth="1"/>
    <col min="3847" max="3848" width="11.140625" bestFit="1" customWidth="1"/>
    <col min="3849" max="3849" width="11.28515625" customWidth="1"/>
    <col min="4092" max="4093" width="4.140625" customWidth="1"/>
    <col min="4094" max="4094" width="35.85546875" customWidth="1"/>
    <col min="4095" max="4096" width="4.7109375" customWidth="1"/>
    <col min="4097" max="4097" width="12.85546875" customWidth="1"/>
    <col min="4098" max="4098" width="11.140625" customWidth="1"/>
    <col min="4099" max="4099" width="12.85546875" customWidth="1"/>
    <col min="4100" max="4100" width="7" customWidth="1"/>
    <col min="4101" max="4101" width="26.85546875" customWidth="1"/>
    <col min="4102" max="4102" width="14.28515625" bestFit="1" customWidth="1"/>
    <col min="4103" max="4104" width="11.140625" bestFit="1" customWidth="1"/>
    <col min="4105" max="4105" width="11.28515625" customWidth="1"/>
    <col min="4348" max="4349" width="4.140625" customWidth="1"/>
    <col min="4350" max="4350" width="35.85546875" customWidth="1"/>
    <col min="4351" max="4352" width="4.7109375" customWidth="1"/>
    <col min="4353" max="4353" width="12.85546875" customWidth="1"/>
    <col min="4354" max="4354" width="11.140625" customWidth="1"/>
    <col min="4355" max="4355" width="12.85546875" customWidth="1"/>
    <col min="4356" max="4356" width="7" customWidth="1"/>
    <col min="4357" max="4357" width="26.85546875" customWidth="1"/>
    <col min="4358" max="4358" width="14.28515625" bestFit="1" customWidth="1"/>
    <col min="4359" max="4360" width="11.140625" bestFit="1" customWidth="1"/>
    <col min="4361" max="4361" width="11.28515625" customWidth="1"/>
    <col min="4604" max="4605" width="4.140625" customWidth="1"/>
    <col min="4606" max="4606" width="35.85546875" customWidth="1"/>
    <col min="4607" max="4608" width="4.7109375" customWidth="1"/>
    <col min="4609" max="4609" width="12.85546875" customWidth="1"/>
    <col min="4610" max="4610" width="11.140625" customWidth="1"/>
    <col min="4611" max="4611" width="12.85546875" customWidth="1"/>
    <col min="4612" max="4612" width="7" customWidth="1"/>
    <col min="4613" max="4613" width="26.85546875" customWidth="1"/>
    <col min="4614" max="4614" width="14.28515625" bestFit="1" customWidth="1"/>
    <col min="4615" max="4616" width="11.140625" bestFit="1" customWidth="1"/>
    <col min="4617" max="4617" width="11.28515625" customWidth="1"/>
    <col min="4860" max="4861" width="4.140625" customWidth="1"/>
    <col min="4862" max="4862" width="35.85546875" customWidth="1"/>
    <col min="4863" max="4864" width="4.7109375" customWidth="1"/>
    <col min="4865" max="4865" width="12.85546875" customWidth="1"/>
    <col min="4866" max="4866" width="11.140625" customWidth="1"/>
    <col min="4867" max="4867" width="12.85546875" customWidth="1"/>
    <col min="4868" max="4868" width="7" customWidth="1"/>
    <col min="4869" max="4869" width="26.85546875" customWidth="1"/>
    <col min="4870" max="4870" width="14.28515625" bestFit="1" customWidth="1"/>
    <col min="4871" max="4872" width="11.140625" bestFit="1" customWidth="1"/>
    <col min="4873" max="4873" width="11.28515625" customWidth="1"/>
    <col min="5116" max="5117" width="4.140625" customWidth="1"/>
    <col min="5118" max="5118" width="35.85546875" customWidth="1"/>
    <col min="5119" max="5120" width="4.7109375" customWidth="1"/>
    <col min="5121" max="5121" width="12.85546875" customWidth="1"/>
    <col min="5122" max="5122" width="11.140625" customWidth="1"/>
    <col min="5123" max="5123" width="12.85546875" customWidth="1"/>
    <col min="5124" max="5124" width="7" customWidth="1"/>
    <col min="5125" max="5125" width="26.85546875" customWidth="1"/>
    <col min="5126" max="5126" width="14.28515625" bestFit="1" customWidth="1"/>
    <col min="5127" max="5128" width="11.140625" bestFit="1" customWidth="1"/>
    <col min="5129" max="5129" width="11.28515625" customWidth="1"/>
    <col min="5372" max="5373" width="4.140625" customWidth="1"/>
    <col min="5374" max="5374" width="35.85546875" customWidth="1"/>
    <col min="5375" max="5376" width="4.7109375" customWidth="1"/>
    <col min="5377" max="5377" width="12.85546875" customWidth="1"/>
    <col min="5378" max="5378" width="11.140625" customWidth="1"/>
    <col min="5379" max="5379" width="12.85546875" customWidth="1"/>
    <col min="5380" max="5380" width="7" customWidth="1"/>
    <col min="5381" max="5381" width="26.85546875" customWidth="1"/>
    <col min="5382" max="5382" width="14.28515625" bestFit="1" customWidth="1"/>
    <col min="5383" max="5384" width="11.140625" bestFit="1" customWidth="1"/>
    <col min="5385" max="5385" width="11.28515625" customWidth="1"/>
    <col min="5628" max="5629" width="4.140625" customWidth="1"/>
    <col min="5630" max="5630" width="35.85546875" customWidth="1"/>
    <col min="5631" max="5632" width="4.7109375" customWidth="1"/>
    <col min="5633" max="5633" width="12.85546875" customWidth="1"/>
    <col min="5634" max="5634" width="11.140625" customWidth="1"/>
    <col min="5635" max="5635" width="12.85546875" customWidth="1"/>
    <col min="5636" max="5636" width="7" customWidth="1"/>
    <col min="5637" max="5637" width="26.85546875" customWidth="1"/>
    <col min="5638" max="5638" width="14.28515625" bestFit="1" customWidth="1"/>
    <col min="5639" max="5640" width="11.140625" bestFit="1" customWidth="1"/>
    <col min="5641" max="5641" width="11.28515625" customWidth="1"/>
    <col min="5884" max="5885" width="4.140625" customWidth="1"/>
    <col min="5886" max="5886" width="35.85546875" customWidth="1"/>
    <col min="5887" max="5888" width="4.7109375" customWidth="1"/>
    <col min="5889" max="5889" width="12.85546875" customWidth="1"/>
    <col min="5890" max="5890" width="11.140625" customWidth="1"/>
    <col min="5891" max="5891" width="12.85546875" customWidth="1"/>
    <col min="5892" max="5892" width="7" customWidth="1"/>
    <col min="5893" max="5893" width="26.85546875" customWidth="1"/>
    <col min="5894" max="5894" width="14.28515625" bestFit="1" customWidth="1"/>
    <col min="5895" max="5896" width="11.140625" bestFit="1" customWidth="1"/>
    <col min="5897" max="5897" width="11.28515625" customWidth="1"/>
    <col min="6140" max="6141" width="4.140625" customWidth="1"/>
    <col min="6142" max="6142" width="35.85546875" customWidth="1"/>
    <col min="6143" max="6144" width="4.7109375" customWidth="1"/>
    <col min="6145" max="6145" width="12.85546875" customWidth="1"/>
    <col min="6146" max="6146" width="11.140625" customWidth="1"/>
    <col min="6147" max="6147" width="12.85546875" customWidth="1"/>
    <col min="6148" max="6148" width="7" customWidth="1"/>
    <col min="6149" max="6149" width="26.85546875" customWidth="1"/>
    <col min="6150" max="6150" width="14.28515625" bestFit="1" customWidth="1"/>
    <col min="6151" max="6152" width="11.140625" bestFit="1" customWidth="1"/>
    <col min="6153" max="6153" width="11.28515625" customWidth="1"/>
    <col min="6396" max="6397" width="4.140625" customWidth="1"/>
    <col min="6398" max="6398" width="35.85546875" customWidth="1"/>
    <col min="6399" max="6400" width="4.7109375" customWidth="1"/>
    <col min="6401" max="6401" width="12.85546875" customWidth="1"/>
    <col min="6402" max="6402" width="11.140625" customWidth="1"/>
    <col min="6403" max="6403" width="12.85546875" customWidth="1"/>
    <col min="6404" max="6404" width="7" customWidth="1"/>
    <col min="6405" max="6405" width="26.85546875" customWidth="1"/>
    <col min="6406" max="6406" width="14.28515625" bestFit="1" customWidth="1"/>
    <col min="6407" max="6408" width="11.140625" bestFit="1" customWidth="1"/>
    <col min="6409" max="6409" width="11.28515625" customWidth="1"/>
    <col min="6652" max="6653" width="4.140625" customWidth="1"/>
    <col min="6654" max="6654" width="35.85546875" customWidth="1"/>
    <col min="6655" max="6656" width="4.7109375" customWidth="1"/>
    <col min="6657" max="6657" width="12.85546875" customWidth="1"/>
    <col min="6658" max="6658" width="11.140625" customWidth="1"/>
    <col min="6659" max="6659" width="12.85546875" customWidth="1"/>
    <col min="6660" max="6660" width="7" customWidth="1"/>
    <col min="6661" max="6661" width="26.85546875" customWidth="1"/>
    <col min="6662" max="6662" width="14.28515625" bestFit="1" customWidth="1"/>
    <col min="6663" max="6664" width="11.140625" bestFit="1" customWidth="1"/>
    <col min="6665" max="6665" width="11.28515625" customWidth="1"/>
    <col min="6908" max="6909" width="4.140625" customWidth="1"/>
    <col min="6910" max="6910" width="35.85546875" customWidth="1"/>
    <col min="6911" max="6912" width="4.7109375" customWidth="1"/>
    <col min="6913" max="6913" width="12.85546875" customWidth="1"/>
    <col min="6914" max="6914" width="11.140625" customWidth="1"/>
    <col min="6915" max="6915" width="12.85546875" customWidth="1"/>
    <col min="6916" max="6916" width="7" customWidth="1"/>
    <col min="6917" max="6917" width="26.85546875" customWidth="1"/>
    <col min="6918" max="6918" width="14.28515625" bestFit="1" customWidth="1"/>
    <col min="6919" max="6920" width="11.140625" bestFit="1" customWidth="1"/>
    <col min="6921" max="6921" width="11.28515625" customWidth="1"/>
    <col min="7164" max="7165" width="4.140625" customWidth="1"/>
    <col min="7166" max="7166" width="35.85546875" customWidth="1"/>
    <col min="7167" max="7168" width="4.7109375" customWidth="1"/>
    <col min="7169" max="7169" width="12.85546875" customWidth="1"/>
    <col min="7170" max="7170" width="11.140625" customWidth="1"/>
    <col min="7171" max="7171" width="12.85546875" customWidth="1"/>
    <col min="7172" max="7172" width="7" customWidth="1"/>
    <col min="7173" max="7173" width="26.85546875" customWidth="1"/>
    <col min="7174" max="7174" width="14.28515625" bestFit="1" customWidth="1"/>
    <col min="7175" max="7176" width="11.140625" bestFit="1" customWidth="1"/>
    <col min="7177" max="7177" width="11.28515625" customWidth="1"/>
    <col min="7420" max="7421" width="4.140625" customWidth="1"/>
    <col min="7422" max="7422" width="35.85546875" customWidth="1"/>
    <col min="7423" max="7424" width="4.7109375" customWidth="1"/>
    <col min="7425" max="7425" width="12.85546875" customWidth="1"/>
    <col min="7426" max="7426" width="11.140625" customWidth="1"/>
    <col min="7427" max="7427" width="12.85546875" customWidth="1"/>
    <col min="7428" max="7428" width="7" customWidth="1"/>
    <col min="7429" max="7429" width="26.85546875" customWidth="1"/>
    <col min="7430" max="7430" width="14.28515625" bestFit="1" customWidth="1"/>
    <col min="7431" max="7432" width="11.140625" bestFit="1" customWidth="1"/>
    <col min="7433" max="7433" width="11.28515625" customWidth="1"/>
    <col min="7676" max="7677" width="4.140625" customWidth="1"/>
    <col min="7678" max="7678" width="35.85546875" customWidth="1"/>
    <col min="7679" max="7680" width="4.7109375" customWidth="1"/>
    <col min="7681" max="7681" width="12.85546875" customWidth="1"/>
    <col min="7682" max="7682" width="11.140625" customWidth="1"/>
    <col min="7683" max="7683" width="12.85546875" customWidth="1"/>
    <col min="7684" max="7684" width="7" customWidth="1"/>
    <col min="7685" max="7685" width="26.85546875" customWidth="1"/>
    <col min="7686" max="7686" width="14.28515625" bestFit="1" customWidth="1"/>
    <col min="7687" max="7688" width="11.140625" bestFit="1" customWidth="1"/>
    <col min="7689" max="7689" width="11.28515625" customWidth="1"/>
    <col min="7932" max="7933" width="4.140625" customWidth="1"/>
    <col min="7934" max="7934" width="35.85546875" customWidth="1"/>
    <col min="7935" max="7936" width="4.7109375" customWidth="1"/>
    <col min="7937" max="7937" width="12.85546875" customWidth="1"/>
    <col min="7938" max="7938" width="11.140625" customWidth="1"/>
    <col min="7939" max="7939" width="12.85546875" customWidth="1"/>
    <col min="7940" max="7940" width="7" customWidth="1"/>
    <col min="7941" max="7941" width="26.85546875" customWidth="1"/>
    <col min="7942" max="7942" width="14.28515625" bestFit="1" customWidth="1"/>
    <col min="7943" max="7944" width="11.140625" bestFit="1" customWidth="1"/>
    <col min="7945" max="7945" width="11.28515625" customWidth="1"/>
    <col min="8188" max="8189" width="4.140625" customWidth="1"/>
    <col min="8190" max="8190" width="35.85546875" customWidth="1"/>
    <col min="8191" max="8192" width="4.7109375" customWidth="1"/>
    <col min="8193" max="8193" width="12.85546875" customWidth="1"/>
    <col min="8194" max="8194" width="11.140625" customWidth="1"/>
    <col min="8195" max="8195" width="12.85546875" customWidth="1"/>
    <col min="8196" max="8196" width="7" customWidth="1"/>
    <col min="8197" max="8197" width="26.85546875" customWidth="1"/>
    <col min="8198" max="8198" width="14.28515625" bestFit="1" customWidth="1"/>
    <col min="8199" max="8200" width="11.140625" bestFit="1" customWidth="1"/>
    <col min="8201" max="8201" width="11.28515625" customWidth="1"/>
    <col min="8444" max="8445" width="4.140625" customWidth="1"/>
    <col min="8446" max="8446" width="35.85546875" customWidth="1"/>
    <col min="8447" max="8448" width="4.7109375" customWidth="1"/>
    <col min="8449" max="8449" width="12.85546875" customWidth="1"/>
    <col min="8450" max="8450" width="11.140625" customWidth="1"/>
    <col min="8451" max="8451" width="12.85546875" customWidth="1"/>
    <col min="8452" max="8452" width="7" customWidth="1"/>
    <col min="8453" max="8453" width="26.85546875" customWidth="1"/>
    <col min="8454" max="8454" width="14.28515625" bestFit="1" customWidth="1"/>
    <col min="8455" max="8456" width="11.140625" bestFit="1" customWidth="1"/>
    <col min="8457" max="8457" width="11.28515625" customWidth="1"/>
    <col min="8700" max="8701" width="4.140625" customWidth="1"/>
    <col min="8702" max="8702" width="35.85546875" customWidth="1"/>
    <col min="8703" max="8704" width="4.7109375" customWidth="1"/>
    <col min="8705" max="8705" width="12.85546875" customWidth="1"/>
    <col min="8706" max="8706" width="11.140625" customWidth="1"/>
    <col min="8707" max="8707" width="12.85546875" customWidth="1"/>
    <col min="8708" max="8708" width="7" customWidth="1"/>
    <col min="8709" max="8709" width="26.85546875" customWidth="1"/>
    <col min="8710" max="8710" width="14.28515625" bestFit="1" customWidth="1"/>
    <col min="8711" max="8712" width="11.140625" bestFit="1" customWidth="1"/>
    <col min="8713" max="8713" width="11.28515625" customWidth="1"/>
    <col min="8956" max="8957" width="4.140625" customWidth="1"/>
    <col min="8958" max="8958" width="35.85546875" customWidth="1"/>
    <col min="8959" max="8960" width="4.7109375" customWidth="1"/>
    <col min="8961" max="8961" width="12.85546875" customWidth="1"/>
    <col min="8962" max="8962" width="11.140625" customWidth="1"/>
    <col min="8963" max="8963" width="12.85546875" customWidth="1"/>
    <col min="8964" max="8964" width="7" customWidth="1"/>
    <col min="8965" max="8965" width="26.85546875" customWidth="1"/>
    <col min="8966" max="8966" width="14.28515625" bestFit="1" customWidth="1"/>
    <col min="8967" max="8968" width="11.140625" bestFit="1" customWidth="1"/>
    <col min="8969" max="8969" width="11.28515625" customWidth="1"/>
    <col min="9212" max="9213" width="4.140625" customWidth="1"/>
    <col min="9214" max="9214" width="35.85546875" customWidth="1"/>
    <col min="9215" max="9216" width="4.7109375" customWidth="1"/>
    <col min="9217" max="9217" width="12.85546875" customWidth="1"/>
    <col min="9218" max="9218" width="11.140625" customWidth="1"/>
    <col min="9219" max="9219" width="12.85546875" customWidth="1"/>
    <col min="9220" max="9220" width="7" customWidth="1"/>
    <col min="9221" max="9221" width="26.85546875" customWidth="1"/>
    <col min="9222" max="9222" width="14.28515625" bestFit="1" customWidth="1"/>
    <col min="9223" max="9224" width="11.140625" bestFit="1" customWidth="1"/>
    <col min="9225" max="9225" width="11.28515625" customWidth="1"/>
    <col min="9468" max="9469" width="4.140625" customWidth="1"/>
    <col min="9470" max="9470" width="35.85546875" customWidth="1"/>
    <col min="9471" max="9472" width="4.7109375" customWidth="1"/>
    <col min="9473" max="9473" width="12.85546875" customWidth="1"/>
    <col min="9474" max="9474" width="11.140625" customWidth="1"/>
    <col min="9475" max="9475" width="12.85546875" customWidth="1"/>
    <col min="9476" max="9476" width="7" customWidth="1"/>
    <col min="9477" max="9477" width="26.85546875" customWidth="1"/>
    <col min="9478" max="9478" width="14.28515625" bestFit="1" customWidth="1"/>
    <col min="9479" max="9480" width="11.140625" bestFit="1" customWidth="1"/>
    <col min="9481" max="9481" width="11.28515625" customWidth="1"/>
    <col min="9724" max="9725" width="4.140625" customWidth="1"/>
    <col min="9726" max="9726" width="35.85546875" customWidth="1"/>
    <col min="9727" max="9728" width="4.7109375" customWidth="1"/>
    <col min="9729" max="9729" width="12.85546875" customWidth="1"/>
    <col min="9730" max="9730" width="11.140625" customWidth="1"/>
    <col min="9731" max="9731" width="12.85546875" customWidth="1"/>
    <col min="9732" max="9732" width="7" customWidth="1"/>
    <col min="9733" max="9733" width="26.85546875" customWidth="1"/>
    <col min="9734" max="9734" width="14.28515625" bestFit="1" customWidth="1"/>
    <col min="9735" max="9736" width="11.140625" bestFit="1" customWidth="1"/>
    <col min="9737" max="9737" width="11.28515625" customWidth="1"/>
    <col min="9980" max="9981" width="4.140625" customWidth="1"/>
    <col min="9982" max="9982" width="35.85546875" customWidth="1"/>
    <col min="9983" max="9984" width="4.7109375" customWidth="1"/>
    <col min="9985" max="9985" width="12.85546875" customWidth="1"/>
    <col min="9986" max="9986" width="11.140625" customWidth="1"/>
    <col min="9987" max="9987" width="12.85546875" customWidth="1"/>
    <col min="9988" max="9988" width="7" customWidth="1"/>
    <col min="9989" max="9989" width="26.85546875" customWidth="1"/>
    <col min="9990" max="9990" width="14.28515625" bestFit="1" customWidth="1"/>
    <col min="9991" max="9992" width="11.140625" bestFit="1" customWidth="1"/>
    <col min="9993" max="9993" width="11.28515625" customWidth="1"/>
    <col min="10236" max="10237" width="4.140625" customWidth="1"/>
    <col min="10238" max="10238" width="35.85546875" customWidth="1"/>
    <col min="10239" max="10240" width="4.7109375" customWidth="1"/>
    <col min="10241" max="10241" width="12.85546875" customWidth="1"/>
    <col min="10242" max="10242" width="11.140625" customWidth="1"/>
    <col min="10243" max="10243" width="12.85546875" customWidth="1"/>
    <col min="10244" max="10244" width="7" customWidth="1"/>
    <col min="10245" max="10245" width="26.85546875" customWidth="1"/>
    <col min="10246" max="10246" width="14.28515625" bestFit="1" customWidth="1"/>
    <col min="10247" max="10248" width="11.140625" bestFit="1" customWidth="1"/>
    <col min="10249" max="10249" width="11.28515625" customWidth="1"/>
    <col min="10492" max="10493" width="4.140625" customWidth="1"/>
    <col min="10494" max="10494" width="35.85546875" customWidth="1"/>
    <col min="10495" max="10496" width="4.7109375" customWidth="1"/>
    <col min="10497" max="10497" width="12.85546875" customWidth="1"/>
    <col min="10498" max="10498" width="11.140625" customWidth="1"/>
    <col min="10499" max="10499" width="12.85546875" customWidth="1"/>
    <col min="10500" max="10500" width="7" customWidth="1"/>
    <col min="10501" max="10501" width="26.85546875" customWidth="1"/>
    <col min="10502" max="10502" width="14.28515625" bestFit="1" customWidth="1"/>
    <col min="10503" max="10504" width="11.140625" bestFit="1" customWidth="1"/>
    <col min="10505" max="10505" width="11.28515625" customWidth="1"/>
    <col min="10748" max="10749" width="4.140625" customWidth="1"/>
    <col min="10750" max="10750" width="35.85546875" customWidth="1"/>
    <col min="10751" max="10752" width="4.7109375" customWidth="1"/>
    <col min="10753" max="10753" width="12.85546875" customWidth="1"/>
    <col min="10754" max="10754" width="11.140625" customWidth="1"/>
    <col min="10755" max="10755" width="12.85546875" customWidth="1"/>
    <col min="10756" max="10756" width="7" customWidth="1"/>
    <col min="10757" max="10757" width="26.85546875" customWidth="1"/>
    <col min="10758" max="10758" width="14.28515625" bestFit="1" customWidth="1"/>
    <col min="10759" max="10760" width="11.140625" bestFit="1" customWidth="1"/>
    <col min="10761" max="10761" width="11.28515625" customWidth="1"/>
    <col min="11004" max="11005" width="4.140625" customWidth="1"/>
    <col min="11006" max="11006" width="35.85546875" customWidth="1"/>
    <col min="11007" max="11008" width="4.7109375" customWidth="1"/>
    <col min="11009" max="11009" width="12.85546875" customWidth="1"/>
    <col min="11010" max="11010" width="11.140625" customWidth="1"/>
    <col min="11011" max="11011" width="12.85546875" customWidth="1"/>
    <col min="11012" max="11012" width="7" customWidth="1"/>
    <col min="11013" max="11013" width="26.85546875" customWidth="1"/>
    <col min="11014" max="11014" width="14.28515625" bestFit="1" customWidth="1"/>
    <col min="11015" max="11016" width="11.140625" bestFit="1" customWidth="1"/>
    <col min="11017" max="11017" width="11.28515625" customWidth="1"/>
    <col min="11260" max="11261" width="4.140625" customWidth="1"/>
    <col min="11262" max="11262" width="35.85546875" customWidth="1"/>
    <col min="11263" max="11264" width="4.7109375" customWidth="1"/>
    <col min="11265" max="11265" width="12.85546875" customWidth="1"/>
    <col min="11266" max="11266" width="11.140625" customWidth="1"/>
    <col min="11267" max="11267" width="12.85546875" customWidth="1"/>
    <col min="11268" max="11268" width="7" customWidth="1"/>
    <col min="11269" max="11269" width="26.85546875" customWidth="1"/>
    <col min="11270" max="11270" width="14.28515625" bestFit="1" customWidth="1"/>
    <col min="11271" max="11272" width="11.140625" bestFit="1" customWidth="1"/>
    <col min="11273" max="11273" width="11.28515625" customWidth="1"/>
    <col min="11516" max="11517" width="4.140625" customWidth="1"/>
    <col min="11518" max="11518" width="35.85546875" customWidth="1"/>
    <col min="11519" max="11520" width="4.7109375" customWidth="1"/>
    <col min="11521" max="11521" width="12.85546875" customWidth="1"/>
    <col min="11522" max="11522" width="11.140625" customWidth="1"/>
    <col min="11523" max="11523" width="12.85546875" customWidth="1"/>
    <col min="11524" max="11524" width="7" customWidth="1"/>
    <col min="11525" max="11525" width="26.85546875" customWidth="1"/>
    <col min="11526" max="11526" width="14.28515625" bestFit="1" customWidth="1"/>
    <col min="11527" max="11528" width="11.140625" bestFit="1" customWidth="1"/>
    <col min="11529" max="11529" width="11.28515625" customWidth="1"/>
    <col min="11772" max="11773" width="4.140625" customWidth="1"/>
    <col min="11774" max="11774" width="35.85546875" customWidth="1"/>
    <col min="11775" max="11776" width="4.7109375" customWidth="1"/>
    <col min="11777" max="11777" width="12.85546875" customWidth="1"/>
    <col min="11778" max="11778" width="11.140625" customWidth="1"/>
    <col min="11779" max="11779" width="12.85546875" customWidth="1"/>
    <col min="11780" max="11780" width="7" customWidth="1"/>
    <col min="11781" max="11781" width="26.85546875" customWidth="1"/>
    <col min="11782" max="11782" width="14.28515625" bestFit="1" customWidth="1"/>
    <col min="11783" max="11784" width="11.140625" bestFit="1" customWidth="1"/>
    <col min="11785" max="11785" width="11.28515625" customWidth="1"/>
    <col min="12028" max="12029" width="4.140625" customWidth="1"/>
    <col min="12030" max="12030" width="35.85546875" customWidth="1"/>
    <col min="12031" max="12032" width="4.7109375" customWidth="1"/>
    <col min="12033" max="12033" width="12.85546875" customWidth="1"/>
    <col min="12034" max="12034" width="11.140625" customWidth="1"/>
    <col min="12035" max="12035" width="12.85546875" customWidth="1"/>
    <col min="12036" max="12036" width="7" customWidth="1"/>
    <col min="12037" max="12037" width="26.85546875" customWidth="1"/>
    <col min="12038" max="12038" width="14.28515625" bestFit="1" customWidth="1"/>
    <col min="12039" max="12040" width="11.140625" bestFit="1" customWidth="1"/>
    <col min="12041" max="12041" width="11.28515625" customWidth="1"/>
    <col min="12284" max="12285" width="4.140625" customWidth="1"/>
    <col min="12286" max="12286" width="35.85546875" customWidth="1"/>
    <col min="12287" max="12288" width="4.7109375" customWidth="1"/>
    <col min="12289" max="12289" width="12.85546875" customWidth="1"/>
    <col min="12290" max="12290" width="11.140625" customWidth="1"/>
    <col min="12291" max="12291" width="12.85546875" customWidth="1"/>
    <col min="12292" max="12292" width="7" customWidth="1"/>
    <col min="12293" max="12293" width="26.85546875" customWidth="1"/>
    <col min="12294" max="12294" width="14.28515625" bestFit="1" customWidth="1"/>
    <col min="12295" max="12296" width="11.140625" bestFit="1" customWidth="1"/>
    <col min="12297" max="12297" width="11.28515625" customWidth="1"/>
    <col min="12540" max="12541" width="4.140625" customWidth="1"/>
    <col min="12542" max="12542" width="35.85546875" customWidth="1"/>
    <col min="12543" max="12544" width="4.7109375" customWidth="1"/>
    <col min="12545" max="12545" width="12.85546875" customWidth="1"/>
    <col min="12546" max="12546" width="11.140625" customWidth="1"/>
    <col min="12547" max="12547" width="12.85546875" customWidth="1"/>
    <col min="12548" max="12548" width="7" customWidth="1"/>
    <col min="12549" max="12549" width="26.85546875" customWidth="1"/>
    <col min="12550" max="12550" width="14.28515625" bestFit="1" customWidth="1"/>
    <col min="12551" max="12552" width="11.140625" bestFit="1" customWidth="1"/>
    <col min="12553" max="12553" width="11.28515625" customWidth="1"/>
    <col min="12796" max="12797" width="4.140625" customWidth="1"/>
    <col min="12798" max="12798" width="35.85546875" customWidth="1"/>
    <col min="12799" max="12800" width="4.7109375" customWidth="1"/>
    <col min="12801" max="12801" width="12.85546875" customWidth="1"/>
    <col min="12802" max="12802" width="11.140625" customWidth="1"/>
    <col min="12803" max="12803" width="12.85546875" customWidth="1"/>
    <col min="12804" max="12804" width="7" customWidth="1"/>
    <col min="12805" max="12805" width="26.85546875" customWidth="1"/>
    <col min="12806" max="12806" width="14.28515625" bestFit="1" customWidth="1"/>
    <col min="12807" max="12808" width="11.140625" bestFit="1" customWidth="1"/>
    <col min="12809" max="12809" width="11.28515625" customWidth="1"/>
    <col min="13052" max="13053" width="4.140625" customWidth="1"/>
    <col min="13054" max="13054" width="35.85546875" customWidth="1"/>
    <col min="13055" max="13056" width="4.7109375" customWidth="1"/>
    <col min="13057" max="13057" width="12.85546875" customWidth="1"/>
    <col min="13058" max="13058" width="11.140625" customWidth="1"/>
    <col min="13059" max="13059" width="12.85546875" customWidth="1"/>
    <col min="13060" max="13060" width="7" customWidth="1"/>
    <col min="13061" max="13061" width="26.85546875" customWidth="1"/>
    <col min="13062" max="13062" width="14.28515625" bestFit="1" customWidth="1"/>
    <col min="13063" max="13064" width="11.140625" bestFit="1" customWidth="1"/>
    <col min="13065" max="13065" width="11.28515625" customWidth="1"/>
    <col min="13308" max="13309" width="4.140625" customWidth="1"/>
    <col min="13310" max="13310" width="35.85546875" customWidth="1"/>
    <col min="13311" max="13312" width="4.7109375" customWidth="1"/>
    <col min="13313" max="13313" width="12.85546875" customWidth="1"/>
    <col min="13314" max="13314" width="11.140625" customWidth="1"/>
    <col min="13315" max="13315" width="12.85546875" customWidth="1"/>
    <col min="13316" max="13316" width="7" customWidth="1"/>
    <col min="13317" max="13317" width="26.85546875" customWidth="1"/>
    <col min="13318" max="13318" width="14.28515625" bestFit="1" customWidth="1"/>
    <col min="13319" max="13320" width="11.140625" bestFit="1" customWidth="1"/>
    <col min="13321" max="13321" width="11.28515625" customWidth="1"/>
    <col min="13564" max="13565" width="4.140625" customWidth="1"/>
    <col min="13566" max="13566" width="35.85546875" customWidth="1"/>
    <col min="13567" max="13568" width="4.7109375" customWidth="1"/>
    <col min="13569" max="13569" width="12.85546875" customWidth="1"/>
    <col min="13570" max="13570" width="11.140625" customWidth="1"/>
    <col min="13571" max="13571" width="12.85546875" customWidth="1"/>
    <col min="13572" max="13572" width="7" customWidth="1"/>
    <col min="13573" max="13573" width="26.85546875" customWidth="1"/>
    <col min="13574" max="13574" width="14.28515625" bestFit="1" customWidth="1"/>
    <col min="13575" max="13576" width="11.140625" bestFit="1" customWidth="1"/>
    <col min="13577" max="13577" width="11.28515625" customWidth="1"/>
    <col min="13820" max="13821" width="4.140625" customWidth="1"/>
    <col min="13822" max="13822" width="35.85546875" customWidth="1"/>
    <col min="13823" max="13824" width="4.7109375" customWidth="1"/>
    <col min="13825" max="13825" width="12.85546875" customWidth="1"/>
    <col min="13826" max="13826" width="11.140625" customWidth="1"/>
    <col min="13827" max="13827" width="12.85546875" customWidth="1"/>
    <col min="13828" max="13828" width="7" customWidth="1"/>
    <col min="13829" max="13829" width="26.85546875" customWidth="1"/>
    <col min="13830" max="13830" width="14.28515625" bestFit="1" customWidth="1"/>
    <col min="13831" max="13832" width="11.140625" bestFit="1" customWidth="1"/>
    <col min="13833" max="13833" width="11.28515625" customWidth="1"/>
    <col min="14076" max="14077" width="4.140625" customWidth="1"/>
    <col min="14078" max="14078" width="35.85546875" customWidth="1"/>
    <col min="14079" max="14080" width="4.7109375" customWidth="1"/>
    <col min="14081" max="14081" width="12.85546875" customWidth="1"/>
    <col min="14082" max="14082" width="11.140625" customWidth="1"/>
    <col min="14083" max="14083" width="12.85546875" customWidth="1"/>
    <col min="14084" max="14084" width="7" customWidth="1"/>
    <col min="14085" max="14085" width="26.85546875" customWidth="1"/>
    <col min="14086" max="14086" width="14.28515625" bestFit="1" customWidth="1"/>
    <col min="14087" max="14088" width="11.140625" bestFit="1" customWidth="1"/>
    <col min="14089" max="14089" width="11.28515625" customWidth="1"/>
    <col min="14332" max="14333" width="4.140625" customWidth="1"/>
    <col min="14334" max="14334" width="35.85546875" customWidth="1"/>
    <col min="14335" max="14336" width="4.7109375" customWidth="1"/>
    <col min="14337" max="14337" width="12.85546875" customWidth="1"/>
    <col min="14338" max="14338" width="11.140625" customWidth="1"/>
    <col min="14339" max="14339" width="12.85546875" customWidth="1"/>
    <col min="14340" max="14340" width="7" customWidth="1"/>
    <col min="14341" max="14341" width="26.85546875" customWidth="1"/>
    <col min="14342" max="14342" width="14.28515625" bestFit="1" customWidth="1"/>
    <col min="14343" max="14344" width="11.140625" bestFit="1" customWidth="1"/>
    <col min="14345" max="14345" width="11.28515625" customWidth="1"/>
    <col min="14588" max="14589" width="4.140625" customWidth="1"/>
    <col min="14590" max="14590" width="35.85546875" customWidth="1"/>
    <col min="14591" max="14592" width="4.7109375" customWidth="1"/>
    <col min="14593" max="14593" width="12.85546875" customWidth="1"/>
    <col min="14594" max="14594" width="11.140625" customWidth="1"/>
    <col min="14595" max="14595" width="12.85546875" customWidth="1"/>
    <col min="14596" max="14596" width="7" customWidth="1"/>
    <col min="14597" max="14597" width="26.85546875" customWidth="1"/>
    <col min="14598" max="14598" width="14.28515625" bestFit="1" customWidth="1"/>
    <col min="14599" max="14600" width="11.140625" bestFit="1" customWidth="1"/>
    <col min="14601" max="14601" width="11.28515625" customWidth="1"/>
    <col min="14844" max="14845" width="4.140625" customWidth="1"/>
    <col min="14846" max="14846" width="35.85546875" customWidth="1"/>
    <col min="14847" max="14848" width="4.7109375" customWidth="1"/>
    <col min="14849" max="14849" width="12.85546875" customWidth="1"/>
    <col min="14850" max="14850" width="11.140625" customWidth="1"/>
    <col min="14851" max="14851" width="12.85546875" customWidth="1"/>
    <col min="14852" max="14852" width="7" customWidth="1"/>
    <col min="14853" max="14853" width="26.85546875" customWidth="1"/>
    <col min="14854" max="14854" width="14.28515625" bestFit="1" customWidth="1"/>
    <col min="14855" max="14856" width="11.140625" bestFit="1" customWidth="1"/>
    <col min="14857" max="14857" width="11.28515625" customWidth="1"/>
    <col min="15100" max="15101" width="4.140625" customWidth="1"/>
    <col min="15102" max="15102" width="35.85546875" customWidth="1"/>
    <col min="15103" max="15104" width="4.7109375" customWidth="1"/>
    <col min="15105" max="15105" width="12.85546875" customWidth="1"/>
    <col min="15106" max="15106" width="11.140625" customWidth="1"/>
    <col min="15107" max="15107" width="12.85546875" customWidth="1"/>
    <col min="15108" max="15108" width="7" customWidth="1"/>
    <col min="15109" max="15109" width="26.85546875" customWidth="1"/>
    <col min="15110" max="15110" width="14.28515625" bestFit="1" customWidth="1"/>
    <col min="15111" max="15112" width="11.140625" bestFit="1" customWidth="1"/>
    <col min="15113" max="15113" width="11.28515625" customWidth="1"/>
    <col min="15356" max="15357" width="4.140625" customWidth="1"/>
    <col min="15358" max="15358" width="35.85546875" customWidth="1"/>
    <col min="15359" max="15360" width="4.7109375" customWidth="1"/>
    <col min="15361" max="15361" width="12.85546875" customWidth="1"/>
    <col min="15362" max="15362" width="11.140625" customWidth="1"/>
    <col min="15363" max="15363" width="12.85546875" customWidth="1"/>
    <col min="15364" max="15364" width="7" customWidth="1"/>
    <col min="15365" max="15365" width="26.85546875" customWidth="1"/>
    <col min="15366" max="15366" width="14.28515625" bestFit="1" customWidth="1"/>
    <col min="15367" max="15368" width="11.140625" bestFit="1" customWidth="1"/>
    <col min="15369" max="15369" width="11.28515625" customWidth="1"/>
    <col min="15612" max="15613" width="4.140625" customWidth="1"/>
    <col min="15614" max="15614" width="35.85546875" customWidth="1"/>
    <col min="15615" max="15616" width="4.7109375" customWidth="1"/>
    <col min="15617" max="15617" width="12.85546875" customWidth="1"/>
    <col min="15618" max="15618" width="11.140625" customWidth="1"/>
    <col min="15619" max="15619" width="12.85546875" customWidth="1"/>
    <col min="15620" max="15620" width="7" customWidth="1"/>
    <col min="15621" max="15621" width="26.85546875" customWidth="1"/>
    <col min="15622" max="15622" width="14.28515625" bestFit="1" customWidth="1"/>
    <col min="15623" max="15624" width="11.140625" bestFit="1" customWidth="1"/>
    <col min="15625" max="15625" width="11.28515625" customWidth="1"/>
    <col min="15868" max="15869" width="4.140625" customWidth="1"/>
    <col min="15870" max="15870" width="35.85546875" customWidth="1"/>
    <col min="15871" max="15872" width="4.7109375" customWidth="1"/>
    <col min="15873" max="15873" width="12.85546875" customWidth="1"/>
    <col min="15874" max="15874" width="11.140625" customWidth="1"/>
    <col min="15875" max="15875" width="12.85546875" customWidth="1"/>
    <col min="15876" max="15876" width="7" customWidth="1"/>
    <col min="15877" max="15877" width="26.85546875" customWidth="1"/>
    <col min="15878" max="15878" width="14.28515625" bestFit="1" customWidth="1"/>
    <col min="15879" max="15880" width="11.140625" bestFit="1" customWidth="1"/>
    <col min="15881" max="15881" width="11.28515625" customWidth="1"/>
    <col min="16124" max="16125" width="4.140625" customWidth="1"/>
    <col min="16126" max="16126" width="35.85546875" customWidth="1"/>
    <col min="16127" max="16128" width="4.7109375" customWidth="1"/>
    <col min="16129" max="16129" width="12.85546875" customWidth="1"/>
    <col min="16130" max="16130" width="11.140625" customWidth="1"/>
    <col min="16131" max="16131" width="12.85546875" customWidth="1"/>
    <col min="16132" max="16132" width="7" customWidth="1"/>
    <col min="16133" max="16133" width="26.85546875" customWidth="1"/>
    <col min="16134" max="16134" width="14.28515625" bestFit="1" customWidth="1"/>
    <col min="16135" max="16136" width="11.140625" bestFit="1" customWidth="1"/>
    <col min="16137" max="16137" width="11.28515625" customWidth="1"/>
  </cols>
  <sheetData>
    <row r="1" spans="1:13" ht="20.25" x14ac:dyDescent="0.3">
      <c r="A1" s="530" t="s">
        <v>180</v>
      </c>
      <c r="B1" s="530"/>
      <c r="C1" s="530"/>
      <c r="D1" s="530"/>
      <c r="E1" s="530"/>
      <c r="F1" s="530"/>
      <c r="G1" s="530"/>
    </row>
    <row r="2" spans="1:13" ht="18" x14ac:dyDescent="0.25">
      <c r="A2" s="516" t="s">
        <v>195</v>
      </c>
      <c r="B2" s="516"/>
      <c r="C2" s="516"/>
      <c r="D2" s="516"/>
      <c r="E2" s="516"/>
      <c r="F2" s="516"/>
      <c r="G2" s="516"/>
    </row>
    <row r="3" spans="1:13" x14ac:dyDescent="0.2">
      <c r="A3" s="96"/>
      <c r="B3" s="96"/>
      <c r="C3" s="96"/>
      <c r="D3" s="96"/>
      <c r="E3" s="96"/>
      <c r="F3" s="96"/>
      <c r="G3" s="96"/>
    </row>
    <row r="4" spans="1:13" x14ac:dyDescent="0.2">
      <c r="A4" s="96" t="s">
        <v>152</v>
      </c>
      <c r="B4" s="96"/>
      <c r="C4" s="413" t="s">
        <v>518</v>
      </c>
      <c r="D4" s="96"/>
      <c r="E4" s="96"/>
      <c r="F4" s="96"/>
      <c r="G4" s="96"/>
    </row>
    <row r="5" spans="1:13" x14ac:dyDescent="0.2">
      <c r="A5" s="96" t="s">
        <v>151</v>
      </c>
      <c r="B5" s="96"/>
      <c r="C5" s="413" t="s">
        <v>528</v>
      </c>
      <c r="D5" s="96"/>
      <c r="E5" s="96"/>
      <c r="F5" s="96"/>
      <c r="G5" s="96"/>
    </row>
    <row r="10" spans="1:13" ht="13.5" thickBot="1" x14ac:dyDescent="0.25"/>
    <row r="11" spans="1:13" s="351" customFormat="1" ht="15" x14ac:dyDescent="0.2">
      <c r="A11" s="533" t="s">
        <v>0</v>
      </c>
      <c r="B11" s="535" t="s">
        <v>519</v>
      </c>
      <c r="C11" s="536"/>
      <c r="D11" s="539" t="s">
        <v>145</v>
      </c>
      <c r="E11" s="540"/>
      <c r="F11" s="540"/>
      <c r="G11" s="541"/>
      <c r="H11" s="542" t="s">
        <v>524</v>
      </c>
      <c r="I11" s="542" t="s">
        <v>523</v>
      </c>
      <c r="J11" s="542" t="s">
        <v>525</v>
      </c>
      <c r="K11" s="542" t="s">
        <v>526</v>
      </c>
      <c r="L11" s="528" t="s">
        <v>229</v>
      </c>
      <c r="M11" s="350"/>
    </row>
    <row r="12" spans="1:13" s="351" customFormat="1" ht="15.75" thickBot="1" x14ac:dyDescent="0.25">
      <c r="A12" s="534"/>
      <c r="B12" s="537"/>
      <c r="C12" s="538"/>
      <c r="D12" s="352" t="s">
        <v>146</v>
      </c>
      <c r="E12" s="352" t="s">
        <v>147</v>
      </c>
      <c r="F12" s="353" t="s">
        <v>148</v>
      </c>
      <c r="G12" s="354" t="s">
        <v>82</v>
      </c>
      <c r="H12" s="543"/>
      <c r="I12" s="544"/>
      <c r="J12" s="543"/>
      <c r="K12" s="544"/>
      <c r="L12" s="529"/>
      <c r="M12" s="350"/>
    </row>
    <row r="13" spans="1:13" s="366" customFormat="1" ht="15.75" thickTop="1" x14ac:dyDescent="0.2">
      <c r="A13" s="355"/>
      <c r="B13" s="356">
        <v>1</v>
      </c>
      <c r="C13" s="357" t="s">
        <v>149</v>
      </c>
      <c r="D13" s="358"/>
      <c r="E13" s="358"/>
      <c r="F13" s="359"/>
      <c r="G13" s="360"/>
      <c r="H13" s="361"/>
      <c r="I13" s="362"/>
      <c r="J13" s="463"/>
      <c r="K13" s="463"/>
      <c r="L13" s="363"/>
      <c r="M13" s="365"/>
    </row>
    <row r="14" spans="1:13" s="366" customFormat="1" ht="15" x14ac:dyDescent="0.2">
      <c r="A14" s="355"/>
      <c r="B14" s="367"/>
      <c r="C14" s="377" t="s">
        <v>237</v>
      </c>
      <c r="D14" s="358">
        <v>1</v>
      </c>
      <c r="E14" s="358">
        <v>6</v>
      </c>
      <c r="F14" s="359">
        <v>1</v>
      </c>
      <c r="G14" s="360" t="s">
        <v>224</v>
      </c>
      <c r="H14" s="361">
        <v>23100000</v>
      </c>
      <c r="I14" s="362">
        <f t="shared" ref="I14:I16" si="0">H14*F14*D14*E14</f>
        <v>138600000</v>
      </c>
      <c r="J14" s="463">
        <f>H14/13500</f>
        <v>1711.1111111111111</v>
      </c>
      <c r="K14" s="463">
        <f>J14*F14*E14*D14</f>
        <v>10266.666666666666</v>
      </c>
      <c r="L14" s="363" t="s">
        <v>226</v>
      </c>
      <c r="M14" s="365"/>
    </row>
    <row r="15" spans="1:13" s="366" customFormat="1" ht="15" x14ac:dyDescent="0.2">
      <c r="A15" s="355"/>
      <c r="B15" s="367"/>
      <c r="C15" s="378" t="s">
        <v>238</v>
      </c>
      <c r="D15" s="358">
        <v>1</v>
      </c>
      <c r="E15" s="358">
        <v>6</v>
      </c>
      <c r="F15" s="359">
        <v>1</v>
      </c>
      <c r="G15" s="360" t="s">
        <v>224</v>
      </c>
      <c r="H15" s="361">
        <v>880000</v>
      </c>
      <c r="I15" s="362">
        <f t="shared" si="0"/>
        <v>5280000</v>
      </c>
      <c r="J15" s="463">
        <f t="shared" ref="J15:J24" si="1">H15/13500</f>
        <v>65.18518518518519</v>
      </c>
      <c r="K15" s="463">
        <f t="shared" ref="K15:K24" si="2">J15*F15*E15*D15</f>
        <v>391.11111111111114</v>
      </c>
      <c r="L15" s="363"/>
      <c r="M15" s="365"/>
    </row>
    <row r="16" spans="1:13" s="366" customFormat="1" ht="15" x14ac:dyDescent="0.2">
      <c r="A16" s="355"/>
      <c r="B16" s="367"/>
      <c r="C16" s="368" t="s">
        <v>239</v>
      </c>
      <c r="D16" s="358">
        <v>1</v>
      </c>
      <c r="E16" s="358">
        <v>6</v>
      </c>
      <c r="F16" s="359">
        <v>1</v>
      </c>
      <c r="G16" s="360" t="s">
        <v>224</v>
      </c>
      <c r="H16" s="361">
        <v>1155000</v>
      </c>
      <c r="I16" s="362">
        <f t="shared" si="0"/>
        <v>6930000</v>
      </c>
      <c r="J16" s="463">
        <f t="shared" si="1"/>
        <v>85.555555555555557</v>
      </c>
      <c r="K16" s="463">
        <f t="shared" si="2"/>
        <v>513.33333333333337</v>
      </c>
      <c r="L16" s="363"/>
      <c r="M16" s="365"/>
    </row>
    <row r="17" spans="1:14" s="366" customFormat="1" ht="15" x14ac:dyDescent="0.2">
      <c r="A17" s="355"/>
      <c r="B17" s="367"/>
      <c r="C17" s="368"/>
      <c r="D17" s="358"/>
      <c r="E17" s="358"/>
      <c r="F17" s="359"/>
      <c r="G17" s="360"/>
      <c r="H17" s="361"/>
      <c r="I17" s="362"/>
      <c r="J17" s="463"/>
      <c r="K17" s="463"/>
      <c r="L17" s="363"/>
      <c r="M17" s="365"/>
    </row>
    <row r="18" spans="1:14" s="366" customFormat="1" ht="15" x14ac:dyDescent="0.2">
      <c r="A18" s="355"/>
      <c r="B18" s="356">
        <v>2</v>
      </c>
      <c r="C18" s="357" t="s">
        <v>252</v>
      </c>
      <c r="D18" s="358"/>
      <c r="E18" s="358"/>
      <c r="F18" s="359"/>
      <c r="G18" s="360"/>
      <c r="H18" s="361"/>
      <c r="I18" s="362"/>
      <c r="J18" s="463"/>
      <c r="K18" s="463"/>
      <c r="L18" s="363"/>
      <c r="M18" s="365"/>
    </row>
    <row r="19" spans="1:14" s="366" customFormat="1" ht="15" x14ac:dyDescent="0.2">
      <c r="A19" s="355"/>
      <c r="B19" s="367"/>
      <c r="C19" s="377" t="s">
        <v>240</v>
      </c>
      <c r="D19" s="358">
        <v>1</v>
      </c>
      <c r="E19" s="358">
        <v>1</v>
      </c>
      <c r="F19" s="358">
        <v>1</v>
      </c>
      <c r="G19" s="360" t="s">
        <v>223</v>
      </c>
      <c r="H19" s="361">
        <v>2200000</v>
      </c>
      <c r="I19" s="362">
        <f t="shared" ref="I19:I24" si="3">H19*F19*D19*E19</f>
        <v>2200000</v>
      </c>
      <c r="J19" s="463">
        <f t="shared" si="1"/>
        <v>162.96296296296296</v>
      </c>
      <c r="K19" s="463">
        <f t="shared" si="2"/>
        <v>162.96296296296296</v>
      </c>
      <c r="L19" s="363"/>
      <c r="M19" s="365"/>
    </row>
    <row r="20" spans="1:14" s="366" customFormat="1" ht="15" x14ac:dyDescent="0.2">
      <c r="A20" s="355"/>
      <c r="B20" s="367"/>
      <c r="C20" s="368" t="s">
        <v>251</v>
      </c>
      <c r="D20" s="358">
        <v>1</v>
      </c>
      <c r="E20" s="358">
        <v>3</v>
      </c>
      <c r="F20" s="358">
        <v>1</v>
      </c>
      <c r="G20" s="360" t="s">
        <v>225</v>
      </c>
      <c r="H20" s="361">
        <v>1100000</v>
      </c>
      <c r="I20" s="362">
        <f t="shared" si="3"/>
        <v>3300000</v>
      </c>
      <c r="J20" s="463">
        <f t="shared" si="1"/>
        <v>81.481481481481481</v>
      </c>
      <c r="K20" s="463">
        <f t="shared" si="2"/>
        <v>244.44444444444446</v>
      </c>
      <c r="L20" s="363"/>
      <c r="M20" s="365"/>
    </row>
    <row r="21" spans="1:14" s="366" customFormat="1" ht="15" x14ac:dyDescent="0.2">
      <c r="A21" s="355"/>
      <c r="B21" s="367"/>
      <c r="C21" s="368" t="s">
        <v>249</v>
      </c>
      <c r="D21" s="358">
        <v>1</v>
      </c>
      <c r="E21" s="358">
        <v>8</v>
      </c>
      <c r="F21" s="358">
        <v>1</v>
      </c>
      <c r="G21" s="360" t="s">
        <v>225</v>
      </c>
      <c r="H21" s="361">
        <v>2200000</v>
      </c>
      <c r="I21" s="362">
        <f t="shared" si="3"/>
        <v>17600000</v>
      </c>
      <c r="J21" s="463">
        <f t="shared" si="1"/>
        <v>162.96296296296296</v>
      </c>
      <c r="K21" s="463">
        <f t="shared" si="2"/>
        <v>1303.7037037037037</v>
      </c>
      <c r="L21" s="363"/>
      <c r="M21" s="365"/>
    </row>
    <row r="22" spans="1:14" s="366" customFormat="1" ht="15" x14ac:dyDescent="0.2">
      <c r="A22" s="355"/>
      <c r="B22" s="367"/>
      <c r="C22" s="368" t="s">
        <v>241</v>
      </c>
      <c r="D22" s="358">
        <v>1</v>
      </c>
      <c r="E22" s="358">
        <v>10</v>
      </c>
      <c r="F22" s="358">
        <v>1</v>
      </c>
      <c r="G22" s="360" t="s">
        <v>225</v>
      </c>
      <c r="H22" s="361">
        <v>220000</v>
      </c>
      <c r="I22" s="362">
        <f t="shared" si="3"/>
        <v>2200000</v>
      </c>
      <c r="J22" s="463">
        <f t="shared" si="1"/>
        <v>16.296296296296298</v>
      </c>
      <c r="K22" s="463">
        <f t="shared" si="2"/>
        <v>162.96296296296299</v>
      </c>
      <c r="L22" s="363"/>
      <c r="M22" s="365"/>
    </row>
    <row r="23" spans="1:14" s="366" customFormat="1" ht="15" x14ac:dyDescent="0.2">
      <c r="A23" s="355"/>
      <c r="B23" s="367"/>
      <c r="C23" s="368" t="s">
        <v>242</v>
      </c>
      <c r="D23" s="358">
        <v>1</v>
      </c>
      <c r="E23" s="358">
        <v>6</v>
      </c>
      <c r="F23" s="358">
        <v>1</v>
      </c>
      <c r="G23" s="360" t="s">
        <v>223</v>
      </c>
      <c r="H23" s="361">
        <v>1650000</v>
      </c>
      <c r="I23" s="362">
        <f t="shared" si="3"/>
        <v>9900000</v>
      </c>
      <c r="J23" s="463">
        <f t="shared" si="1"/>
        <v>122.22222222222223</v>
      </c>
      <c r="K23" s="463">
        <f t="shared" si="2"/>
        <v>733.33333333333337</v>
      </c>
      <c r="L23" s="363"/>
      <c r="M23" s="365"/>
    </row>
    <row r="24" spans="1:14" s="366" customFormat="1" ht="15.75" thickBot="1" x14ac:dyDescent="0.25">
      <c r="A24" s="355"/>
      <c r="B24" s="367"/>
      <c r="C24" s="368" t="s">
        <v>250</v>
      </c>
      <c r="D24" s="358">
        <v>1</v>
      </c>
      <c r="E24" s="358">
        <v>1</v>
      </c>
      <c r="F24" s="358">
        <v>1</v>
      </c>
      <c r="G24" s="360" t="s">
        <v>223</v>
      </c>
      <c r="H24" s="361">
        <v>6600000</v>
      </c>
      <c r="I24" s="362">
        <f t="shared" si="3"/>
        <v>6600000</v>
      </c>
      <c r="J24" s="463">
        <f t="shared" si="1"/>
        <v>488.88888888888891</v>
      </c>
      <c r="K24" s="463">
        <f t="shared" si="2"/>
        <v>488.88888888888891</v>
      </c>
      <c r="L24" s="363"/>
      <c r="M24" s="365"/>
    </row>
    <row r="25" spans="1:14" s="366" customFormat="1" ht="16.5" thickTop="1" thickBot="1" x14ac:dyDescent="0.25">
      <c r="A25" s="369"/>
      <c r="B25" s="531" t="s">
        <v>253</v>
      </c>
      <c r="C25" s="532"/>
      <c r="D25" s="370"/>
      <c r="E25" s="370"/>
      <c r="F25" s="371"/>
      <c r="G25" s="372"/>
      <c r="H25" s="373"/>
      <c r="I25" s="373">
        <f>SUM(I14:I24)</f>
        <v>192610000</v>
      </c>
      <c r="J25" s="373"/>
      <c r="K25" s="373">
        <f>SUM(K14:K24)</f>
        <v>14267.407407407411</v>
      </c>
      <c r="L25" s="374"/>
      <c r="M25" s="364"/>
      <c r="N25" s="365"/>
    </row>
  </sheetData>
  <mergeCells count="11">
    <mergeCell ref="L11:L12"/>
    <mergeCell ref="A1:G1"/>
    <mergeCell ref="A2:G2"/>
    <mergeCell ref="B25:C25"/>
    <mergeCell ref="A11:A12"/>
    <mergeCell ref="B11:C12"/>
    <mergeCell ref="D11:G11"/>
    <mergeCell ref="H11:H12"/>
    <mergeCell ref="I11:I12"/>
    <mergeCell ref="J11:J12"/>
    <mergeCell ref="K11:K12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T1380"/>
  <sheetViews>
    <sheetView tabSelected="1" view="pageBreakPreview" zoomScale="70" zoomScaleNormal="70" zoomScaleSheetLayoutView="70" workbookViewId="0">
      <selection activeCell="T226" sqref="T226"/>
    </sheetView>
  </sheetViews>
  <sheetFormatPr defaultColWidth="9.140625" defaultRowHeight="15.75" x14ac:dyDescent="0.25"/>
  <cols>
    <col min="1" max="1" width="3.28515625" style="10" customWidth="1"/>
    <col min="2" max="2" width="15.7109375" style="10" customWidth="1"/>
    <col min="3" max="3" width="18.28515625" style="10" bestFit="1" customWidth="1"/>
    <col min="4" max="4" width="27.42578125" style="10" customWidth="1"/>
    <col min="5" max="5" width="8.85546875" style="10" customWidth="1"/>
    <col min="6" max="6" width="4" style="10" customWidth="1"/>
    <col min="7" max="7" width="14.140625" style="10" customWidth="1"/>
    <col min="8" max="8" width="2.85546875" style="10" customWidth="1"/>
    <col min="9" max="9" width="4" style="10" customWidth="1"/>
    <col min="10" max="10" width="14" style="10" customWidth="1"/>
    <col min="11" max="11" width="2.5703125" style="10" customWidth="1"/>
    <col min="12" max="12" width="4" style="10" customWidth="1"/>
    <col min="13" max="13" width="15" style="10" customWidth="1"/>
    <col min="14" max="14" width="2.7109375" style="10" customWidth="1"/>
    <col min="15" max="15" width="4.140625" style="10" customWidth="1"/>
    <col min="16" max="16" width="13.7109375" style="10" customWidth="1"/>
    <col min="17" max="17" width="1" style="10" customWidth="1"/>
    <col min="18" max="18" width="0.28515625" style="10" customWidth="1"/>
    <col min="19" max="19" width="1.85546875" style="10" hidden="1" customWidth="1"/>
    <col min="20" max="16384" width="9.140625" style="10"/>
  </cols>
  <sheetData>
    <row r="1" spans="2:18" ht="7.5" customHeight="1" x14ac:dyDescent="0.25"/>
    <row r="2" spans="2:18" ht="27.75" customHeight="1" x14ac:dyDescent="0.3">
      <c r="B2" s="545" t="s">
        <v>59</v>
      </c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</row>
    <row r="3" spans="2:18" ht="15.6" customHeight="1" x14ac:dyDescent="0.25">
      <c r="B3" s="12"/>
      <c r="C3" s="12"/>
      <c r="E3" s="12"/>
      <c r="F3" s="12"/>
      <c r="Q3" s="11"/>
    </row>
    <row r="4" spans="2:18" ht="15.6" customHeight="1" x14ac:dyDescent="0.25">
      <c r="B4" s="10" t="s">
        <v>263</v>
      </c>
      <c r="Q4" s="11"/>
    </row>
    <row r="5" spans="2:18" ht="15.6" customHeight="1" x14ac:dyDescent="0.25">
      <c r="B5" s="13">
        <v>0.4</v>
      </c>
      <c r="C5" s="10" t="s">
        <v>262</v>
      </c>
      <c r="D5" s="10" t="s">
        <v>230</v>
      </c>
      <c r="E5" s="10" t="s">
        <v>15</v>
      </c>
      <c r="F5" s="10" t="s">
        <v>8</v>
      </c>
      <c r="G5" s="13">
        <f>'Unit Price '!E120</f>
        <v>109600</v>
      </c>
      <c r="H5" s="13" t="s">
        <v>13</v>
      </c>
      <c r="I5" s="13" t="s">
        <v>8</v>
      </c>
      <c r="J5" s="13">
        <f>SUM(G5*B5)</f>
        <v>43840</v>
      </c>
      <c r="K5" s="13"/>
      <c r="L5" s="13"/>
      <c r="M5" s="13"/>
      <c r="N5" s="13"/>
      <c r="O5" s="13"/>
      <c r="P5" s="13"/>
      <c r="Q5" s="14"/>
      <c r="R5" s="13"/>
    </row>
    <row r="6" spans="2:18" ht="15.6" customHeight="1" x14ac:dyDescent="0.25">
      <c r="B6" s="15">
        <v>0.04</v>
      </c>
      <c r="C6" s="10" t="s">
        <v>262</v>
      </c>
      <c r="D6" s="381" t="s">
        <v>261</v>
      </c>
      <c r="E6" s="10" t="s">
        <v>15</v>
      </c>
      <c r="F6" s="10" t="s">
        <v>8</v>
      </c>
      <c r="G6" s="13">
        <f>'Unit Price '!E109</f>
        <v>178100</v>
      </c>
      <c r="H6" s="13" t="s">
        <v>13</v>
      </c>
      <c r="I6" s="13" t="s">
        <v>8</v>
      </c>
      <c r="J6" s="13">
        <f>SUM(G6*B6)</f>
        <v>7124</v>
      </c>
      <c r="K6" s="13" t="s">
        <v>9</v>
      </c>
      <c r="L6" s="13"/>
      <c r="M6" s="13"/>
      <c r="N6" s="13"/>
      <c r="O6" s="13"/>
      <c r="P6" s="13"/>
      <c r="Q6" s="14"/>
      <c r="R6" s="13"/>
    </row>
    <row r="7" spans="2:18" ht="15.6" customHeight="1" x14ac:dyDescent="0.25">
      <c r="B7" s="13"/>
      <c r="G7" s="13" t="s">
        <v>228</v>
      </c>
      <c r="H7" s="13" t="s">
        <v>13</v>
      </c>
      <c r="I7" s="13" t="s">
        <v>8</v>
      </c>
      <c r="J7" s="13">
        <f>SUM(J5:J6)</f>
        <v>50964</v>
      </c>
      <c r="K7" s="13"/>
      <c r="L7" s="13"/>
      <c r="M7" s="13"/>
      <c r="N7" s="13"/>
      <c r="O7" s="13"/>
      <c r="P7" s="13"/>
      <c r="Q7" s="14"/>
      <c r="R7" s="13"/>
    </row>
    <row r="8" spans="2:18" ht="15.6" customHeight="1" x14ac:dyDescent="0.25">
      <c r="B8" s="13"/>
      <c r="G8" s="13" t="s">
        <v>228</v>
      </c>
      <c r="H8" s="13" t="s">
        <v>13</v>
      </c>
      <c r="I8" s="13" t="s">
        <v>8</v>
      </c>
      <c r="J8" s="13">
        <f>SUM(J7:J7)</f>
        <v>50964</v>
      </c>
      <c r="K8" s="13"/>
      <c r="L8" s="13"/>
      <c r="M8" s="13"/>
      <c r="N8" s="13"/>
      <c r="O8" s="13"/>
      <c r="P8" s="13"/>
      <c r="Q8" s="14"/>
      <c r="R8" s="13"/>
    </row>
    <row r="9" spans="2:18" ht="15.6" customHeight="1" x14ac:dyDescent="0.25">
      <c r="B9" s="13"/>
      <c r="G9" s="13" t="s">
        <v>205</v>
      </c>
      <c r="H9" s="13" t="s">
        <v>13</v>
      </c>
      <c r="I9" s="13" t="s">
        <v>8</v>
      </c>
      <c r="J9" s="16">
        <f>SUM(J8)</f>
        <v>50964</v>
      </c>
      <c r="K9" s="13"/>
      <c r="L9" s="13"/>
      <c r="M9" s="13"/>
      <c r="N9" s="13"/>
      <c r="O9" s="13"/>
      <c r="P9" s="13"/>
      <c r="Q9" s="14"/>
      <c r="R9" s="13"/>
    </row>
    <row r="10" spans="2:18" ht="15.6" customHeight="1" x14ac:dyDescent="0.25">
      <c r="B10" s="13"/>
      <c r="G10" s="13"/>
      <c r="H10" s="13"/>
      <c r="I10" s="13"/>
      <c r="J10" s="16"/>
      <c r="K10" s="13"/>
      <c r="L10" s="13"/>
      <c r="M10" s="13"/>
      <c r="N10" s="13"/>
      <c r="O10" s="13"/>
      <c r="P10" s="13"/>
      <c r="Q10" s="14"/>
      <c r="R10" s="13"/>
    </row>
    <row r="11" spans="2:18" ht="15.6" customHeight="1" x14ac:dyDescent="0.25">
      <c r="B11" s="10" t="s">
        <v>264</v>
      </c>
      <c r="Q11" s="11"/>
    </row>
    <row r="12" spans="2:18" ht="15.6" customHeight="1" x14ac:dyDescent="0.25">
      <c r="B12" s="94">
        <v>1.05</v>
      </c>
      <c r="C12" s="10" t="s">
        <v>262</v>
      </c>
      <c r="D12" s="10" t="s">
        <v>230</v>
      </c>
      <c r="E12" s="10" t="s">
        <v>15</v>
      </c>
      <c r="F12" s="10" t="s">
        <v>8</v>
      </c>
      <c r="G12" s="13">
        <f>G5</f>
        <v>109600</v>
      </c>
      <c r="H12" s="13" t="s">
        <v>13</v>
      </c>
      <c r="I12" s="13" t="s">
        <v>8</v>
      </c>
      <c r="J12" s="13">
        <f>SUM(G12*B12)</f>
        <v>115080</v>
      </c>
      <c r="K12" s="13"/>
      <c r="L12" s="13"/>
      <c r="M12" s="13"/>
      <c r="N12" s="13"/>
      <c r="O12" s="13"/>
      <c r="P12" s="13"/>
      <c r="Q12" s="14"/>
      <c r="R12" s="13"/>
    </row>
    <row r="13" spans="2:18" ht="15.6" customHeight="1" x14ac:dyDescent="0.25">
      <c r="B13" s="94">
        <v>6.7000000000000004E-2</v>
      </c>
      <c r="C13" s="10" t="s">
        <v>262</v>
      </c>
      <c r="D13" s="381" t="s">
        <v>261</v>
      </c>
      <c r="E13" s="10" t="s">
        <v>15</v>
      </c>
      <c r="F13" s="10" t="s">
        <v>8</v>
      </c>
      <c r="G13" s="13">
        <f>G6</f>
        <v>178100</v>
      </c>
      <c r="H13" s="13" t="s">
        <v>13</v>
      </c>
      <c r="I13" s="13" t="s">
        <v>8</v>
      </c>
      <c r="J13" s="13">
        <f>SUM(G13*B13)</f>
        <v>11932.7</v>
      </c>
      <c r="K13" s="13" t="s">
        <v>9</v>
      </c>
      <c r="L13" s="13"/>
      <c r="M13" s="13"/>
      <c r="N13" s="13"/>
      <c r="O13" s="13"/>
      <c r="P13" s="13"/>
      <c r="Q13" s="14"/>
      <c r="R13" s="13"/>
    </row>
    <row r="14" spans="2:18" ht="15.6" customHeight="1" x14ac:dyDescent="0.25">
      <c r="B14" s="13"/>
      <c r="G14" s="13" t="s">
        <v>228</v>
      </c>
      <c r="H14" s="13" t="s">
        <v>13</v>
      </c>
      <c r="I14" s="13" t="s">
        <v>8</v>
      </c>
      <c r="J14" s="13">
        <f>SUM(J12:J13)</f>
        <v>127012.7</v>
      </c>
      <c r="K14" s="13"/>
      <c r="L14" s="13"/>
      <c r="M14" s="13"/>
      <c r="N14" s="13"/>
      <c r="O14" s="13"/>
      <c r="P14" s="13"/>
      <c r="Q14" s="14"/>
      <c r="R14" s="13"/>
    </row>
    <row r="15" spans="2:18" ht="15.6" customHeight="1" x14ac:dyDescent="0.25">
      <c r="B15" s="13"/>
      <c r="G15" s="13" t="s">
        <v>228</v>
      </c>
      <c r="H15" s="13" t="s">
        <v>13</v>
      </c>
      <c r="I15" s="13" t="s">
        <v>8</v>
      </c>
      <c r="J15" s="13">
        <f>SUM(J14:J14)</f>
        <v>127012.7</v>
      </c>
      <c r="K15" s="13"/>
      <c r="L15" s="13"/>
      <c r="M15" s="13"/>
      <c r="N15" s="13"/>
      <c r="O15" s="13"/>
      <c r="P15" s="13"/>
      <c r="Q15" s="14"/>
      <c r="R15" s="13"/>
    </row>
    <row r="16" spans="2:18" ht="15.6" customHeight="1" x14ac:dyDescent="0.25">
      <c r="B16" s="13"/>
      <c r="G16" s="13" t="s">
        <v>205</v>
      </c>
      <c r="H16" s="13" t="s">
        <v>13</v>
      </c>
      <c r="I16" s="13" t="s">
        <v>8</v>
      </c>
      <c r="J16" s="16">
        <f>SUM(J15)</f>
        <v>127012.7</v>
      </c>
      <c r="K16" s="13"/>
      <c r="L16" s="13"/>
      <c r="M16" s="13"/>
      <c r="N16" s="13"/>
      <c r="O16" s="13"/>
      <c r="P16" s="13"/>
      <c r="Q16" s="14"/>
      <c r="R16" s="13"/>
    </row>
    <row r="17" spans="2:20" ht="15.6" customHeight="1" x14ac:dyDescent="0.25">
      <c r="B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4"/>
      <c r="R17" s="13"/>
    </row>
    <row r="18" spans="2:20" s="17" customFormat="1" ht="15.6" customHeight="1" x14ac:dyDescent="0.25">
      <c r="B18" s="18" t="s">
        <v>283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  <c r="N18" s="19"/>
      <c r="O18" s="19"/>
      <c r="P18" s="19"/>
      <c r="Q18" s="19"/>
      <c r="R18" s="19"/>
      <c r="S18" s="19"/>
      <c r="T18" s="19"/>
    </row>
    <row r="19" spans="2:20" s="17" customFormat="1" ht="15.6" customHeight="1" x14ac:dyDescent="0.25">
      <c r="B19" s="18" t="s">
        <v>11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  <c r="N19" s="19"/>
      <c r="O19" s="19"/>
      <c r="P19" s="19"/>
      <c r="Q19" s="19"/>
      <c r="R19" s="19"/>
      <c r="S19" s="19"/>
      <c r="T19" s="19"/>
    </row>
    <row r="20" spans="2:20" s="17" customFormat="1" ht="15.6" customHeight="1" x14ac:dyDescent="0.25">
      <c r="B20" s="18">
        <v>1.2E-2</v>
      </c>
      <c r="C20" s="18" t="s">
        <v>62</v>
      </c>
      <c r="D20" s="382" t="s">
        <v>284</v>
      </c>
      <c r="E20" s="10" t="s">
        <v>15</v>
      </c>
      <c r="F20" s="10" t="s">
        <v>8</v>
      </c>
      <c r="G20" s="20">
        <f>'Unit Price '!E42</f>
        <v>3425000</v>
      </c>
      <c r="H20" s="18" t="s">
        <v>63</v>
      </c>
      <c r="I20" s="10" t="s">
        <v>8</v>
      </c>
      <c r="J20" s="21">
        <f>G20*B20</f>
        <v>41100</v>
      </c>
      <c r="K20" s="18"/>
      <c r="L20" s="18"/>
      <c r="M20" s="19"/>
      <c r="N20" s="19"/>
      <c r="O20" s="19"/>
      <c r="P20" s="19"/>
      <c r="Q20" s="19"/>
      <c r="R20" s="18"/>
      <c r="S20" s="19"/>
      <c r="T20" s="19"/>
    </row>
    <row r="21" spans="2:20" s="17" customFormat="1" ht="15.6" customHeight="1" x14ac:dyDescent="0.25">
      <c r="B21" s="18">
        <v>0.02</v>
      </c>
      <c r="C21" s="18" t="s">
        <v>58</v>
      </c>
      <c r="D21" s="18" t="s">
        <v>265</v>
      </c>
      <c r="E21" s="10" t="s">
        <v>15</v>
      </c>
      <c r="F21" s="10" t="s">
        <v>8</v>
      </c>
      <c r="G21" s="20">
        <f>'Unit Price '!E27</f>
        <v>27400</v>
      </c>
      <c r="H21" s="18" t="s">
        <v>63</v>
      </c>
      <c r="I21" s="10" t="s">
        <v>8</v>
      </c>
      <c r="J21" s="21">
        <f>G21*B21</f>
        <v>548</v>
      </c>
      <c r="K21" s="18"/>
      <c r="L21" s="18"/>
      <c r="M21" s="19"/>
      <c r="N21" s="19"/>
      <c r="O21" s="19"/>
      <c r="P21" s="19"/>
      <c r="Q21" s="19"/>
      <c r="R21" s="18"/>
      <c r="S21" s="19"/>
      <c r="T21" s="19"/>
    </row>
    <row r="22" spans="2:20" s="17" customFormat="1" ht="15.6" customHeight="1" x14ac:dyDescent="0.25">
      <c r="B22" s="18">
        <v>7.0000000000000001E-3</v>
      </c>
      <c r="C22" s="18" t="s">
        <v>62</v>
      </c>
      <c r="D22" s="18" t="s">
        <v>285</v>
      </c>
      <c r="E22" s="10" t="s">
        <v>15</v>
      </c>
      <c r="F22" s="10" t="s">
        <v>8</v>
      </c>
      <c r="G22" s="20">
        <f>'Unit Price '!E58</f>
        <v>4110000</v>
      </c>
      <c r="H22" s="18" t="s">
        <v>63</v>
      </c>
      <c r="I22" s="10" t="s">
        <v>8</v>
      </c>
      <c r="J22" s="21">
        <f>G22*B22</f>
        <v>28770</v>
      </c>
      <c r="K22" s="18"/>
      <c r="L22" s="18"/>
      <c r="M22" s="19"/>
      <c r="N22" s="19"/>
      <c r="O22" s="19"/>
      <c r="P22" s="19"/>
      <c r="Q22" s="19"/>
      <c r="R22" s="18"/>
      <c r="S22" s="19"/>
      <c r="T22" s="19"/>
    </row>
    <row r="23" spans="2:20" s="17" customFormat="1" ht="15.6" customHeight="1" x14ac:dyDescent="0.25">
      <c r="B23" s="18"/>
      <c r="C23" s="18"/>
      <c r="D23" s="18"/>
      <c r="E23" s="22"/>
      <c r="F23" s="10" t="s">
        <v>8</v>
      </c>
      <c r="G23" s="18"/>
      <c r="H23" s="18"/>
      <c r="I23" s="20" t="s">
        <v>11</v>
      </c>
      <c r="J23" s="21"/>
      <c r="K23" s="18"/>
      <c r="L23" s="18"/>
      <c r="M23" s="23">
        <f>SUM(J20:J22)</f>
        <v>70418</v>
      </c>
      <c r="N23" s="19"/>
      <c r="O23" s="19"/>
      <c r="P23" s="19"/>
      <c r="Q23" s="19"/>
      <c r="R23" s="18"/>
      <c r="S23" s="19"/>
      <c r="T23" s="19"/>
    </row>
    <row r="24" spans="2:20" s="17" customFormat="1" ht="15.6" customHeight="1" x14ac:dyDescent="0.25">
      <c r="B24" s="18">
        <v>0.1</v>
      </c>
      <c r="C24" s="10" t="s">
        <v>262</v>
      </c>
      <c r="D24" s="382" t="s">
        <v>286</v>
      </c>
      <c r="E24" s="10" t="s">
        <v>15</v>
      </c>
      <c r="F24" s="10" t="s">
        <v>8</v>
      </c>
      <c r="G24" s="20">
        <f>'Unit Price '!E111</f>
        <v>164400</v>
      </c>
      <c r="H24" s="18" t="s">
        <v>63</v>
      </c>
      <c r="I24" s="20" t="str">
        <f>I22</f>
        <v>Rp.</v>
      </c>
      <c r="J24" s="21">
        <f>G24*B24</f>
        <v>16440</v>
      </c>
      <c r="K24" s="18"/>
      <c r="L24" s="18"/>
      <c r="M24" s="19"/>
      <c r="N24" s="19"/>
      <c r="O24" s="19"/>
      <c r="P24" s="19"/>
      <c r="Q24" s="19"/>
      <c r="R24" s="18"/>
      <c r="S24" s="19"/>
      <c r="T24" s="19"/>
    </row>
    <row r="25" spans="2:20" s="17" customFormat="1" ht="15.6" customHeight="1" x14ac:dyDescent="0.25">
      <c r="B25" s="18">
        <v>0.01</v>
      </c>
      <c r="C25" s="10" t="s">
        <v>262</v>
      </c>
      <c r="D25" s="18" t="s">
        <v>287</v>
      </c>
      <c r="E25" s="10" t="s">
        <v>15</v>
      </c>
      <c r="F25" s="10" t="s">
        <v>8</v>
      </c>
      <c r="G25" s="20">
        <f>'Unit Price '!E110</f>
        <v>178100</v>
      </c>
      <c r="H25" s="18" t="s">
        <v>63</v>
      </c>
      <c r="I25" s="20" t="str">
        <f>I24</f>
        <v>Rp.</v>
      </c>
      <c r="J25" s="21">
        <f>G25*B25</f>
        <v>1781</v>
      </c>
      <c r="K25" s="18"/>
      <c r="L25" s="18"/>
      <c r="M25" s="19"/>
      <c r="N25" s="19"/>
      <c r="O25" s="19"/>
      <c r="P25" s="19"/>
      <c r="Q25" s="19"/>
      <c r="R25" s="18"/>
      <c r="S25" s="19"/>
      <c r="T25" s="19"/>
    </row>
    <row r="26" spans="2:20" s="17" customFormat="1" ht="15.6" customHeight="1" x14ac:dyDescent="0.25">
      <c r="B26" s="18">
        <v>0.1</v>
      </c>
      <c r="C26" s="10" t="s">
        <v>262</v>
      </c>
      <c r="D26" s="10" t="s">
        <v>230</v>
      </c>
      <c r="E26" s="10" t="s">
        <v>15</v>
      </c>
      <c r="F26" s="10" t="s">
        <v>8</v>
      </c>
      <c r="G26" s="20">
        <f>'Unit Price '!E120</f>
        <v>109600</v>
      </c>
      <c r="H26" s="18" t="s">
        <v>63</v>
      </c>
      <c r="I26" s="20" t="str">
        <f>I25</f>
        <v>Rp.</v>
      </c>
      <c r="J26" s="21">
        <f>G26*B26</f>
        <v>10960</v>
      </c>
      <c r="K26" s="18"/>
      <c r="L26" s="18"/>
      <c r="M26" s="19"/>
      <c r="N26" s="19"/>
      <c r="O26" s="19"/>
      <c r="P26" s="19"/>
      <c r="Q26" s="19"/>
      <c r="R26" s="18"/>
      <c r="S26" s="19"/>
      <c r="T26" s="19"/>
    </row>
    <row r="27" spans="2:20" s="17" customFormat="1" ht="15.6" customHeight="1" x14ac:dyDescent="0.25">
      <c r="B27" s="18">
        <v>5.0000000000000001E-3</v>
      </c>
      <c r="C27" s="10" t="s">
        <v>262</v>
      </c>
      <c r="D27" s="381" t="s">
        <v>261</v>
      </c>
      <c r="E27" s="10" t="s">
        <v>15</v>
      </c>
      <c r="F27" s="10" t="s">
        <v>8</v>
      </c>
      <c r="G27" s="20">
        <f>'Unit Price '!E109</f>
        <v>178100</v>
      </c>
      <c r="H27" s="18" t="s">
        <v>63</v>
      </c>
      <c r="I27" s="20" t="str">
        <f>I26</f>
        <v>Rp.</v>
      </c>
      <c r="J27" s="21">
        <f>G27*B27</f>
        <v>890.5</v>
      </c>
      <c r="K27" s="18"/>
      <c r="L27" s="18"/>
      <c r="M27" s="19"/>
      <c r="N27" s="19"/>
      <c r="O27" s="19"/>
      <c r="P27" s="19"/>
      <c r="Q27" s="19"/>
      <c r="R27" s="18"/>
      <c r="S27" s="19"/>
      <c r="T27" s="19"/>
    </row>
    <row r="28" spans="2:20" s="17" customFormat="1" ht="15.6" customHeight="1" x14ac:dyDescent="0.25">
      <c r="B28" s="18"/>
      <c r="C28" s="18"/>
      <c r="D28" s="18"/>
      <c r="E28" s="18"/>
      <c r="F28" s="24" t="s">
        <v>64</v>
      </c>
      <c r="G28" s="24"/>
      <c r="H28" s="24" t="s">
        <v>64</v>
      </c>
      <c r="I28" s="24" t="s">
        <v>64</v>
      </c>
      <c r="J28" s="21">
        <f>SUM(J24:J27)</f>
        <v>30071.5</v>
      </c>
      <c r="K28" s="25" t="s">
        <v>9</v>
      </c>
      <c r="L28" s="18"/>
      <c r="M28" s="23">
        <f>M23</f>
        <v>70418</v>
      </c>
      <c r="N28" s="26" t="s">
        <v>13</v>
      </c>
      <c r="O28" s="26" t="s">
        <v>8</v>
      </c>
      <c r="P28" s="23">
        <f>M28+J28</f>
        <v>100489.5</v>
      </c>
      <c r="Q28" s="19"/>
      <c r="R28" s="20"/>
      <c r="S28" s="19"/>
      <c r="T28" s="19"/>
    </row>
    <row r="29" spans="2:20" s="17" customFormat="1" ht="15.6" customHeight="1" x14ac:dyDescent="0.25">
      <c r="B29" s="18"/>
      <c r="C29" s="18"/>
      <c r="D29" s="18"/>
      <c r="E29" s="18"/>
      <c r="F29" s="13" t="s">
        <v>228</v>
      </c>
      <c r="G29" s="18"/>
      <c r="H29" s="18"/>
      <c r="I29" s="20"/>
      <c r="J29" s="20"/>
      <c r="K29" s="18"/>
      <c r="L29" s="18"/>
      <c r="M29" s="19"/>
      <c r="N29" s="26" t="s">
        <v>13</v>
      </c>
      <c r="O29" s="26" t="s">
        <v>8</v>
      </c>
      <c r="P29" s="23">
        <f>P28</f>
        <v>100489.5</v>
      </c>
      <c r="Q29" s="19"/>
      <c r="R29" s="18"/>
      <c r="S29" s="19"/>
      <c r="T29" s="19"/>
    </row>
    <row r="30" spans="2:20" s="17" customFormat="1" ht="15.6" customHeight="1" x14ac:dyDescent="0.25">
      <c r="B30" s="18"/>
      <c r="C30" s="18"/>
      <c r="D30" s="18"/>
      <c r="E30" s="18"/>
      <c r="F30" s="13" t="s">
        <v>205</v>
      </c>
      <c r="G30" s="18"/>
      <c r="H30" s="18"/>
      <c r="I30" s="20"/>
      <c r="J30" s="26"/>
      <c r="K30" s="18"/>
      <c r="L30" s="18"/>
      <c r="M30" s="19"/>
      <c r="N30" s="26" t="s">
        <v>13</v>
      </c>
      <c r="O30" s="26" t="s">
        <v>8</v>
      </c>
      <c r="P30" s="27">
        <f>INT(P29/1)*1</f>
        <v>100489</v>
      </c>
      <c r="Q30" s="19"/>
      <c r="R30" s="18"/>
      <c r="S30" s="19"/>
      <c r="T30" s="19"/>
    </row>
    <row r="31" spans="2:20" ht="15.6" customHeight="1" x14ac:dyDescent="0.25">
      <c r="B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4"/>
      <c r="R31" s="13"/>
    </row>
    <row r="32" spans="2:20" ht="15.6" customHeight="1" x14ac:dyDescent="0.25">
      <c r="B32" s="13" t="s">
        <v>381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4"/>
      <c r="R32" s="13"/>
    </row>
    <row r="33" spans="2:18" ht="15.6" customHeight="1" x14ac:dyDescent="0.25">
      <c r="B33" s="15">
        <v>0.192</v>
      </c>
      <c r="C33" s="10" t="s">
        <v>262</v>
      </c>
      <c r="D33" s="10" t="s">
        <v>230</v>
      </c>
      <c r="E33" s="10" t="s">
        <v>15</v>
      </c>
      <c r="F33" s="10" t="s">
        <v>8</v>
      </c>
      <c r="G33" s="13">
        <f>+'Unit Price '!E120</f>
        <v>109600</v>
      </c>
      <c r="H33" s="13" t="s">
        <v>13</v>
      </c>
      <c r="I33" s="13" t="s">
        <v>8</v>
      </c>
      <c r="J33" s="13">
        <f>SUM(G33*B33)</f>
        <v>21043.200000000001</v>
      </c>
      <c r="K33" s="13"/>
      <c r="L33" s="13"/>
      <c r="M33" s="13"/>
      <c r="N33" s="13"/>
      <c r="O33" s="13"/>
      <c r="P33" s="13"/>
      <c r="Q33" s="14"/>
      <c r="R33" s="13"/>
    </row>
    <row r="34" spans="2:18" ht="15.6" customHeight="1" x14ac:dyDescent="0.25">
      <c r="B34" s="15">
        <v>1.9E-2</v>
      </c>
      <c r="C34" s="10" t="s">
        <v>262</v>
      </c>
      <c r="D34" s="381" t="s">
        <v>261</v>
      </c>
      <c r="E34" s="10" t="s">
        <v>15</v>
      </c>
      <c r="F34" s="10" t="s">
        <v>8</v>
      </c>
      <c r="G34" s="13">
        <f>+'Unit Price '!E109</f>
        <v>178100</v>
      </c>
      <c r="H34" s="13" t="s">
        <v>13</v>
      </c>
      <c r="I34" s="13" t="s">
        <v>8</v>
      </c>
      <c r="J34" s="13">
        <f>SUM(G34*B34)</f>
        <v>3383.9</v>
      </c>
      <c r="K34" s="13" t="s">
        <v>9</v>
      </c>
      <c r="L34" s="13"/>
      <c r="M34" s="13"/>
      <c r="N34" s="13"/>
      <c r="O34" s="13"/>
      <c r="P34" s="13"/>
      <c r="Q34" s="14"/>
      <c r="R34" s="13"/>
    </row>
    <row r="35" spans="2:18" ht="15.6" customHeight="1" x14ac:dyDescent="0.25">
      <c r="B35" s="13"/>
      <c r="G35" s="13" t="s">
        <v>228</v>
      </c>
      <c r="H35" s="13" t="s">
        <v>13</v>
      </c>
      <c r="I35" s="13" t="s">
        <v>8</v>
      </c>
      <c r="J35" s="13">
        <f>SUM(J33:J34)</f>
        <v>24427.100000000002</v>
      </c>
      <c r="K35" s="13"/>
      <c r="L35" s="13"/>
      <c r="M35" s="13"/>
      <c r="N35" s="13"/>
      <c r="O35" s="13"/>
      <c r="P35" s="13"/>
      <c r="Q35" s="14"/>
      <c r="R35" s="13"/>
    </row>
    <row r="36" spans="2:18" ht="15.6" customHeight="1" x14ac:dyDescent="0.25">
      <c r="B36" s="13"/>
      <c r="G36" s="13" t="s">
        <v>228</v>
      </c>
      <c r="H36" s="13" t="s">
        <v>13</v>
      </c>
      <c r="I36" s="13" t="s">
        <v>8</v>
      </c>
      <c r="J36" s="13">
        <f>SUM(J35:J35)</f>
        <v>24427.100000000002</v>
      </c>
      <c r="K36" s="13"/>
      <c r="L36" s="13"/>
      <c r="M36" s="13"/>
      <c r="N36" s="13"/>
      <c r="O36" s="13"/>
      <c r="P36" s="13"/>
      <c r="Q36" s="14"/>
      <c r="R36" s="13"/>
    </row>
    <row r="37" spans="2:18" ht="15.6" customHeight="1" x14ac:dyDescent="0.25">
      <c r="B37" s="13"/>
      <c r="G37" s="13" t="s">
        <v>205</v>
      </c>
      <c r="H37" s="13" t="s">
        <v>13</v>
      </c>
      <c r="I37" s="13" t="s">
        <v>8</v>
      </c>
      <c r="J37" s="16">
        <f>INT(J36/1)*1</f>
        <v>24427</v>
      </c>
      <c r="K37" s="13"/>
      <c r="L37" s="13"/>
      <c r="M37" s="13"/>
      <c r="N37" s="13"/>
      <c r="O37" s="13"/>
      <c r="P37" s="13"/>
      <c r="Q37" s="14"/>
      <c r="R37" s="13"/>
    </row>
    <row r="38" spans="2:18" ht="15.6" customHeight="1" x14ac:dyDescent="0.25">
      <c r="B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4"/>
      <c r="R38" s="13"/>
    </row>
    <row r="39" spans="2:18" ht="15.6" customHeight="1" x14ac:dyDescent="0.25">
      <c r="B39" s="31" t="s">
        <v>104</v>
      </c>
      <c r="C39" s="87"/>
      <c r="D39" s="87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4"/>
      <c r="R39" s="13"/>
    </row>
    <row r="40" spans="2:18" ht="15.6" customHeight="1" x14ac:dyDescent="0.25">
      <c r="B40" s="88">
        <v>1.2</v>
      </c>
      <c r="C40" s="31" t="s">
        <v>62</v>
      </c>
      <c r="D40" s="31" t="s">
        <v>107</v>
      </c>
      <c r="E40" s="10" t="s">
        <v>15</v>
      </c>
      <c r="F40" s="10" t="s">
        <v>8</v>
      </c>
      <c r="G40" s="20">
        <f>'Unit Price '!E16</f>
        <v>102750</v>
      </c>
      <c r="H40" s="18" t="s">
        <v>63</v>
      </c>
      <c r="I40" s="10" t="s">
        <v>8</v>
      </c>
      <c r="J40" s="21">
        <f>G40*B40</f>
        <v>123300</v>
      </c>
      <c r="K40" s="18"/>
      <c r="L40" s="18"/>
      <c r="M40" s="19"/>
      <c r="N40" s="13"/>
      <c r="O40" s="13"/>
      <c r="P40" s="13"/>
      <c r="Q40" s="14"/>
      <c r="R40" s="13"/>
    </row>
    <row r="41" spans="2:18" ht="15.6" customHeight="1" x14ac:dyDescent="0.25">
      <c r="B41" s="88">
        <v>0.3</v>
      </c>
      <c r="C41" s="31" t="s">
        <v>93</v>
      </c>
      <c r="D41" s="10" t="s">
        <v>230</v>
      </c>
      <c r="E41" s="10" t="s">
        <v>15</v>
      </c>
      <c r="F41" s="10" t="s">
        <v>8</v>
      </c>
      <c r="G41" s="13">
        <f>'Unit Price '!E120</f>
        <v>109600</v>
      </c>
      <c r="H41" s="13" t="s">
        <v>13</v>
      </c>
      <c r="I41" s="13" t="s">
        <v>8</v>
      </c>
      <c r="J41" s="13">
        <f>SUM(G41*B41)</f>
        <v>32880</v>
      </c>
      <c r="K41" s="13"/>
      <c r="L41" s="13"/>
      <c r="M41" s="13"/>
      <c r="N41" s="13"/>
      <c r="O41" s="13"/>
      <c r="P41" s="13"/>
      <c r="Q41" s="14"/>
      <c r="R41" s="13"/>
    </row>
    <row r="42" spans="2:18" ht="15.6" customHeight="1" x14ac:dyDescent="0.25">
      <c r="B42" s="88">
        <v>0.01</v>
      </c>
      <c r="C42" s="31" t="s">
        <v>93</v>
      </c>
      <c r="D42" s="380" t="s">
        <v>261</v>
      </c>
      <c r="E42" s="10" t="s">
        <v>15</v>
      </c>
      <c r="F42" s="10" t="s">
        <v>8</v>
      </c>
      <c r="G42" s="13">
        <f>'Unit Price '!E109</f>
        <v>178100</v>
      </c>
      <c r="H42" s="13" t="s">
        <v>13</v>
      </c>
      <c r="I42" s="13" t="s">
        <v>8</v>
      </c>
      <c r="J42" s="13">
        <f>SUM(G42*B42)</f>
        <v>1781</v>
      </c>
      <c r="K42" s="13"/>
      <c r="L42" s="13"/>
      <c r="M42" s="13"/>
      <c r="N42" s="13"/>
      <c r="O42" s="13"/>
      <c r="P42" s="13"/>
      <c r="Q42" s="14"/>
      <c r="R42" s="13"/>
    </row>
    <row r="43" spans="2:18" ht="15.6" customHeight="1" x14ac:dyDescent="0.25">
      <c r="B43" s="13"/>
      <c r="G43" s="13" t="s">
        <v>228</v>
      </c>
      <c r="H43" s="13" t="s">
        <v>13</v>
      </c>
      <c r="I43" s="13" t="s">
        <v>8</v>
      </c>
      <c r="J43" s="13">
        <f>SUM(J40:J42)</f>
        <v>157961</v>
      </c>
      <c r="K43" s="13"/>
      <c r="L43" s="13"/>
      <c r="M43" s="13"/>
      <c r="N43" s="13"/>
      <c r="O43" s="13"/>
      <c r="P43" s="13"/>
      <c r="Q43" s="14"/>
      <c r="R43" s="13"/>
    </row>
    <row r="44" spans="2:18" ht="15.6" customHeight="1" x14ac:dyDescent="0.25">
      <c r="B44" s="13"/>
      <c r="G44" s="13" t="s">
        <v>228</v>
      </c>
      <c r="H44" s="13" t="s">
        <v>13</v>
      </c>
      <c r="I44" s="13" t="s">
        <v>8</v>
      </c>
      <c r="J44" s="13">
        <f>SUM(J43:J43)</f>
        <v>157961</v>
      </c>
      <c r="K44" s="13"/>
      <c r="L44" s="13"/>
      <c r="M44" s="13"/>
      <c r="N44" s="13"/>
      <c r="O44" s="13"/>
      <c r="P44" s="13"/>
      <c r="Q44" s="14"/>
      <c r="R44" s="13"/>
    </row>
    <row r="45" spans="2:18" ht="15.6" customHeight="1" x14ac:dyDescent="0.25">
      <c r="B45" s="13"/>
      <c r="G45" s="13" t="s">
        <v>205</v>
      </c>
      <c r="H45" s="13" t="s">
        <v>13</v>
      </c>
      <c r="I45" s="13" t="s">
        <v>8</v>
      </c>
      <c r="J45" s="16">
        <f>INT(J44/1)*1</f>
        <v>157961</v>
      </c>
      <c r="K45" s="13"/>
      <c r="L45" s="13"/>
      <c r="M45" s="13"/>
      <c r="N45" s="13"/>
      <c r="O45" s="13"/>
      <c r="P45" s="13"/>
      <c r="Q45" s="14"/>
      <c r="R45" s="13"/>
    </row>
    <row r="46" spans="2:18" ht="15.6" customHeight="1" x14ac:dyDescent="0.25">
      <c r="B46" s="13"/>
      <c r="G46" s="13"/>
      <c r="H46" s="13"/>
      <c r="I46" s="13"/>
      <c r="J46" s="16"/>
      <c r="K46" s="13"/>
      <c r="L46" s="13"/>
      <c r="M46" s="13"/>
      <c r="N46" s="13"/>
      <c r="O46" s="13"/>
      <c r="P46" s="13"/>
      <c r="Q46" s="14"/>
      <c r="R46" s="13"/>
    </row>
    <row r="47" spans="2:18" ht="15.6" customHeight="1" x14ac:dyDescent="0.25">
      <c r="B47" s="31" t="s">
        <v>106</v>
      </c>
      <c r="C47" s="87"/>
      <c r="D47" s="87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4"/>
      <c r="R47" s="13"/>
    </row>
    <row r="48" spans="2:18" ht="15.6" customHeight="1" x14ac:dyDescent="0.25">
      <c r="B48" s="88">
        <v>1.2</v>
      </c>
      <c r="C48" s="31" t="s">
        <v>62</v>
      </c>
      <c r="D48" s="31" t="s">
        <v>105</v>
      </c>
      <c r="E48" s="10" t="s">
        <v>15</v>
      </c>
      <c r="F48" s="10" t="s">
        <v>8</v>
      </c>
      <c r="G48" s="20">
        <f>G40</f>
        <v>102750</v>
      </c>
      <c r="H48" s="18" t="s">
        <v>63</v>
      </c>
      <c r="I48" s="10" t="s">
        <v>8</v>
      </c>
      <c r="J48" s="21">
        <f t="shared" ref="J48:J53" si="0">G48*B48</f>
        <v>123300</v>
      </c>
      <c r="K48" s="18"/>
      <c r="L48" s="18"/>
      <c r="M48" s="19"/>
      <c r="N48" s="13"/>
      <c r="O48" s="13"/>
      <c r="P48" s="95"/>
      <c r="Q48" s="93"/>
      <c r="R48" s="13"/>
    </row>
    <row r="49" spans="2:18" ht="15.6" customHeight="1" x14ac:dyDescent="0.25">
      <c r="B49" s="88">
        <v>2.4799999999999999E-2</v>
      </c>
      <c r="C49" s="31" t="s">
        <v>98</v>
      </c>
      <c r="D49" s="31" t="s">
        <v>94</v>
      </c>
      <c r="E49" s="10" t="s">
        <v>15</v>
      </c>
      <c r="F49" s="10" t="s">
        <v>8</v>
      </c>
      <c r="G49" s="20">
        <f>'Unit Price '!E97</f>
        <v>260300</v>
      </c>
      <c r="H49" s="18" t="s">
        <v>63</v>
      </c>
      <c r="J49" s="21">
        <f t="shared" si="0"/>
        <v>6455.44</v>
      </c>
      <c r="K49" s="18"/>
      <c r="L49" s="18"/>
      <c r="M49" s="19"/>
      <c r="N49" s="13"/>
      <c r="O49" s="13"/>
      <c r="P49" s="95"/>
      <c r="Q49" s="93"/>
      <c r="R49" s="13"/>
    </row>
    <row r="50" spans="2:18" ht="15.6" customHeight="1" x14ac:dyDescent="0.25">
      <c r="B50" s="88">
        <v>0.08</v>
      </c>
      <c r="C50" s="31" t="s">
        <v>98</v>
      </c>
      <c r="D50" s="31" t="s">
        <v>95</v>
      </c>
      <c r="E50" s="10" t="s">
        <v>15</v>
      </c>
      <c r="F50" s="10" t="s">
        <v>8</v>
      </c>
      <c r="G50" s="20">
        <f>'Unit Price '!E98</f>
        <v>260300</v>
      </c>
      <c r="H50" s="18" t="s">
        <v>63</v>
      </c>
      <c r="J50" s="21">
        <f t="shared" si="0"/>
        <v>20824</v>
      </c>
      <c r="K50" s="18"/>
      <c r="L50" s="18"/>
      <c r="M50" s="19"/>
      <c r="N50" s="13"/>
      <c r="O50" s="13"/>
      <c r="P50" s="95"/>
      <c r="Q50" s="93"/>
      <c r="R50" s="13"/>
    </row>
    <row r="51" spans="2:18" ht="15.6" customHeight="1" x14ac:dyDescent="0.25">
      <c r="B51" s="88">
        <v>6.4000000000000001E-2</v>
      </c>
      <c r="C51" s="31" t="s">
        <v>98</v>
      </c>
      <c r="D51" s="31" t="s">
        <v>96</v>
      </c>
      <c r="E51" s="10" t="s">
        <v>15</v>
      </c>
      <c r="F51" s="10" t="s">
        <v>8</v>
      </c>
      <c r="G51" s="20">
        <f>'Unit Price '!E99</f>
        <v>260300</v>
      </c>
      <c r="H51" s="18" t="s">
        <v>63</v>
      </c>
      <c r="J51" s="21">
        <f t="shared" si="0"/>
        <v>16659.2</v>
      </c>
      <c r="K51" s="18"/>
      <c r="L51" s="18"/>
      <c r="M51" s="19"/>
      <c r="N51" s="13"/>
      <c r="O51" s="13"/>
      <c r="P51" s="95"/>
      <c r="Q51" s="93"/>
      <c r="R51" s="13"/>
    </row>
    <row r="52" spans="2:18" ht="15.6" customHeight="1" x14ac:dyDescent="0.25">
      <c r="B52" s="88">
        <v>0.104</v>
      </c>
      <c r="C52" s="31" t="s">
        <v>98</v>
      </c>
      <c r="D52" s="31" t="s">
        <v>97</v>
      </c>
      <c r="E52" s="10" t="s">
        <v>15</v>
      </c>
      <c r="F52" s="10" t="s">
        <v>8</v>
      </c>
      <c r="G52" s="20">
        <f>'Unit Price '!E100</f>
        <v>260300</v>
      </c>
      <c r="H52" s="18" t="s">
        <v>63</v>
      </c>
      <c r="J52" s="21">
        <f t="shared" si="0"/>
        <v>27071.199999999997</v>
      </c>
      <c r="K52" s="18"/>
      <c r="L52" s="18"/>
      <c r="M52" s="19"/>
      <c r="N52" s="13"/>
      <c r="O52" s="13"/>
      <c r="P52" s="95"/>
      <c r="Q52" s="93"/>
      <c r="R52" s="13"/>
    </row>
    <row r="53" spans="2:18" ht="15.6" customHeight="1" x14ac:dyDescent="0.25">
      <c r="B53" s="88">
        <v>1.84E-2</v>
      </c>
      <c r="C53" s="31" t="s">
        <v>93</v>
      </c>
      <c r="D53" s="31" t="s">
        <v>266</v>
      </c>
      <c r="E53" s="10" t="s">
        <v>15</v>
      </c>
      <c r="F53" s="10" t="s">
        <v>8</v>
      </c>
      <c r="G53" s="13">
        <f>G41</f>
        <v>109600</v>
      </c>
      <c r="H53" s="18" t="s">
        <v>63</v>
      </c>
      <c r="I53" s="13" t="s">
        <v>8</v>
      </c>
      <c r="J53" s="21">
        <f t="shared" si="0"/>
        <v>2016.6399999999999</v>
      </c>
      <c r="K53" s="13"/>
      <c r="L53" s="13"/>
      <c r="M53" s="13"/>
      <c r="N53" s="13"/>
      <c r="O53" s="13"/>
      <c r="P53" s="95"/>
      <c r="Q53" s="93"/>
      <c r="R53" s="13"/>
    </row>
    <row r="54" spans="2:18" ht="15.6" customHeight="1" x14ac:dyDescent="0.25">
      <c r="B54" s="13"/>
      <c r="G54" s="13" t="s">
        <v>228</v>
      </c>
      <c r="H54" s="13" t="s">
        <v>13</v>
      </c>
      <c r="I54" s="13" t="s">
        <v>8</v>
      </c>
      <c r="J54" s="13">
        <f>SUM(J48:J53)</f>
        <v>196326.48000000004</v>
      </c>
      <c r="K54" s="13"/>
      <c r="L54" s="13"/>
      <c r="M54" s="13"/>
      <c r="N54" s="13"/>
      <c r="O54" s="13"/>
      <c r="P54" s="95"/>
      <c r="Q54" s="93"/>
      <c r="R54" s="13"/>
    </row>
    <row r="55" spans="2:18" ht="15.6" customHeight="1" x14ac:dyDescent="0.25">
      <c r="B55" s="13"/>
      <c r="G55" s="13" t="s">
        <v>228</v>
      </c>
      <c r="H55" s="13" t="s">
        <v>13</v>
      </c>
      <c r="I55" s="13" t="s">
        <v>8</v>
      </c>
      <c r="J55" s="13">
        <f>SUM(J54:J54)</f>
        <v>196326.48000000004</v>
      </c>
      <c r="K55" s="13"/>
      <c r="L55" s="13"/>
      <c r="M55" s="13"/>
      <c r="N55" s="13"/>
      <c r="O55" s="13"/>
      <c r="P55" s="95"/>
      <c r="Q55" s="93"/>
      <c r="R55" s="13"/>
    </row>
    <row r="56" spans="2:18" ht="15.6" customHeight="1" x14ac:dyDescent="0.25">
      <c r="B56" s="13"/>
      <c r="G56" s="13" t="s">
        <v>205</v>
      </c>
      <c r="H56" s="13" t="s">
        <v>13</v>
      </c>
      <c r="I56" s="13" t="s">
        <v>8</v>
      </c>
      <c r="J56" s="16">
        <f>INT(J55/1)*1</f>
        <v>196326</v>
      </c>
      <c r="K56" s="13"/>
      <c r="L56" s="13"/>
      <c r="M56" s="13"/>
      <c r="N56" s="13"/>
      <c r="O56" s="13"/>
      <c r="P56" s="13"/>
      <c r="Q56" s="14"/>
      <c r="R56" s="13"/>
    </row>
    <row r="57" spans="2:18" ht="15.6" customHeight="1" x14ac:dyDescent="0.25">
      <c r="B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4"/>
      <c r="R57" s="13"/>
    </row>
    <row r="58" spans="2:18" ht="15.6" customHeight="1" x14ac:dyDescent="0.25">
      <c r="B58" s="13" t="s">
        <v>429</v>
      </c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4"/>
      <c r="R58" s="13"/>
    </row>
    <row r="59" spans="2:18" ht="15.6" customHeight="1" x14ac:dyDescent="0.25">
      <c r="B59" s="15">
        <v>1.1000000000000001</v>
      </c>
      <c r="C59" s="10" t="s">
        <v>16</v>
      </c>
      <c r="D59" s="10" t="s">
        <v>315</v>
      </c>
      <c r="E59" s="10" t="s">
        <v>15</v>
      </c>
      <c r="F59" s="10" t="s">
        <v>8</v>
      </c>
      <c r="G59" s="13">
        <f>'Unit Price '!E13</f>
        <v>102750</v>
      </c>
      <c r="K59" s="13" t="s">
        <v>9</v>
      </c>
      <c r="L59" s="13" t="s">
        <v>8</v>
      </c>
      <c r="M59" s="13">
        <f>SUM(G59*B59)</f>
        <v>113025.00000000001</v>
      </c>
      <c r="N59" s="13"/>
      <c r="O59" s="13"/>
      <c r="P59" s="13"/>
      <c r="Q59" s="14"/>
      <c r="R59" s="13"/>
    </row>
    <row r="60" spans="2:18" ht="15.6" customHeight="1" x14ac:dyDescent="0.25">
      <c r="B60" s="15">
        <v>0.25</v>
      </c>
      <c r="C60" s="10" t="s">
        <v>44</v>
      </c>
      <c r="D60" s="10" t="s">
        <v>230</v>
      </c>
      <c r="E60" s="10" t="s">
        <v>15</v>
      </c>
      <c r="F60" s="10" t="s">
        <v>8</v>
      </c>
      <c r="G60" s="13">
        <f>+'Unit Price '!E120</f>
        <v>109600</v>
      </c>
      <c r="H60" s="13" t="s">
        <v>13</v>
      </c>
      <c r="I60" s="13" t="s">
        <v>8</v>
      </c>
      <c r="J60" s="13">
        <f>SUM(G60*B60)</f>
        <v>27400</v>
      </c>
      <c r="K60" s="13"/>
      <c r="L60" s="13"/>
      <c r="M60" s="13"/>
      <c r="N60" s="13"/>
      <c r="O60" s="13"/>
      <c r="P60" s="13"/>
      <c r="Q60" s="14"/>
      <c r="R60" s="13"/>
    </row>
    <row r="61" spans="2:18" ht="15.6" customHeight="1" x14ac:dyDescent="0.25">
      <c r="B61" s="15">
        <v>2.5000000000000001E-2</v>
      </c>
      <c r="C61" s="10" t="s">
        <v>44</v>
      </c>
      <c r="D61" s="381" t="s">
        <v>261</v>
      </c>
      <c r="E61" s="10" t="s">
        <v>15</v>
      </c>
      <c r="F61" s="10" t="s">
        <v>8</v>
      </c>
      <c r="G61" s="13">
        <f>+'Unit Price '!E109</f>
        <v>178100</v>
      </c>
      <c r="H61" s="13" t="s">
        <v>13</v>
      </c>
      <c r="I61" s="13" t="s">
        <v>8</v>
      </c>
      <c r="J61" s="13">
        <f>SUM(G61*B61)</f>
        <v>4452.5</v>
      </c>
      <c r="K61" s="13"/>
      <c r="L61" s="13"/>
      <c r="M61" s="13"/>
      <c r="N61" s="13"/>
      <c r="O61" s="13"/>
      <c r="P61" s="13"/>
      <c r="Q61" s="14" t="s">
        <v>9</v>
      </c>
      <c r="R61" s="13"/>
    </row>
    <row r="62" spans="2:18" ht="15.6" customHeight="1" x14ac:dyDescent="0.25">
      <c r="B62" s="13"/>
      <c r="G62" s="13" t="s">
        <v>228</v>
      </c>
      <c r="H62" s="13" t="s">
        <v>13</v>
      </c>
      <c r="I62" s="13" t="s">
        <v>8</v>
      </c>
      <c r="J62" s="13">
        <f>SUM(J59:J61)</f>
        <v>31852.5</v>
      </c>
      <c r="K62" s="13" t="s">
        <v>9</v>
      </c>
      <c r="L62" s="13" t="s">
        <v>8</v>
      </c>
      <c r="M62" s="13">
        <f>SUM(M58:M61)</f>
        <v>113025.00000000001</v>
      </c>
      <c r="N62" s="13" t="s">
        <v>13</v>
      </c>
      <c r="O62" s="13" t="s">
        <v>8</v>
      </c>
      <c r="P62" s="13">
        <f>SUM(M62+J62)</f>
        <v>144877.5</v>
      </c>
      <c r="Q62" s="14"/>
      <c r="R62" s="13"/>
    </row>
    <row r="63" spans="2:18" ht="15.6" customHeight="1" x14ac:dyDescent="0.25">
      <c r="B63" s="13"/>
      <c r="G63" s="13" t="s">
        <v>228</v>
      </c>
      <c r="H63" s="13"/>
      <c r="I63" s="13"/>
      <c r="J63" s="13"/>
      <c r="K63" s="13"/>
      <c r="L63" s="13"/>
      <c r="M63" s="13"/>
      <c r="N63" s="13" t="s">
        <v>13</v>
      </c>
      <c r="O63" s="13" t="s">
        <v>8</v>
      </c>
      <c r="P63" s="13">
        <f>SUM(P62:P62)</f>
        <v>144877.5</v>
      </c>
      <c r="Q63" s="14"/>
      <c r="R63" s="13"/>
    </row>
    <row r="64" spans="2:18" ht="15.6" customHeight="1" x14ac:dyDescent="0.25">
      <c r="B64" s="13"/>
      <c r="G64" s="13" t="s">
        <v>205</v>
      </c>
      <c r="H64" s="13"/>
      <c r="I64" s="13"/>
      <c r="J64" s="13"/>
      <c r="K64" s="13"/>
      <c r="L64" s="13"/>
      <c r="M64" s="13"/>
      <c r="N64" s="13" t="s">
        <v>13</v>
      </c>
      <c r="O64" s="13" t="s">
        <v>8</v>
      </c>
      <c r="P64" s="16">
        <f>INT(P63/1)*1</f>
        <v>144877</v>
      </c>
      <c r="Q64" s="14"/>
      <c r="R64" s="13"/>
    </row>
    <row r="65" spans="2:18" ht="15.6" customHeight="1" x14ac:dyDescent="0.25">
      <c r="B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4"/>
      <c r="R65" s="13"/>
    </row>
    <row r="66" spans="2:18" ht="15.6" customHeight="1" x14ac:dyDescent="0.25">
      <c r="B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4"/>
      <c r="R66" s="13"/>
    </row>
    <row r="67" spans="2:18" ht="15.6" customHeight="1" x14ac:dyDescent="0.25">
      <c r="B67" s="395" t="s">
        <v>430</v>
      </c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4"/>
      <c r="R67" s="13"/>
    </row>
    <row r="68" spans="2:18" ht="15.6" customHeight="1" x14ac:dyDescent="0.25">
      <c r="B68" s="15">
        <v>1.1000000000000001</v>
      </c>
      <c r="C68" s="10" t="s">
        <v>16</v>
      </c>
      <c r="D68" s="10" t="s">
        <v>295</v>
      </c>
      <c r="E68" s="10" t="s">
        <v>15</v>
      </c>
      <c r="F68" s="10" t="s">
        <v>8</v>
      </c>
      <c r="G68" s="13">
        <f>+'Unit Price '!E15</f>
        <v>171250</v>
      </c>
      <c r="K68" s="13" t="s">
        <v>9</v>
      </c>
      <c r="L68" s="13" t="s">
        <v>8</v>
      </c>
      <c r="M68" s="13">
        <f>SUM(G68*B68)</f>
        <v>188375.00000000003</v>
      </c>
      <c r="N68" s="13"/>
      <c r="O68" s="13"/>
      <c r="P68" s="13"/>
      <c r="Q68" s="14"/>
      <c r="R68" s="13"/>
    </row>
    <row r="69" spans="2:18" ht="15.6" customHeight="1" x14ac:dyDescent="0.25">
      <c r="B69" s="15">
        <v>136</v>
      </c>
      <c r="C69" s="10" t="s">
        <v>17</v>
      </c>
      <c r="D69" s="10" t="s">
        <v>43</v>
      </c>
      <c r="E69" s="10" t="s">
        <v>15</v>
      </c>
      <c r="F69" s="10" t="s">
        <v>8</v>
      </c>
      <c r="G69" s="13">
        <f>'Unit Price '!E9</f>
        <v>1918</v>
      </c>
      <c r="K69" s="13" t="s">
        <v>9</v>
      </c>
      <c r="L69" s="13" t="s">
        <v>8</v>
      </c>
      <c r="M69" s="13">
        <f>SUM(G69*B69)</f>
        <v>260848</v>
      </c>
      <c r="N69" s="13"/>
      <c r="O69" s="13"/>
      <c r="P69" s="13"/>
      <c r="Q69" s="14"/>
      <c r="R69" s="13"/>
    </row>
    <row r="70" spans="2:18" ht="15.6" customHeight="1" x14ac:dyDescent="0.25">
      <c r="B70" s="15">
        <v>0.54400000000000004</v>
      </c>
      <c r="C70" s="10" t="s">
        <v>16</v>
      </c>
      <c r="D70" s="10" t="s">
        <v>302</v>
      </c>
      <c r="E70" s="10" t="s">
        <v>15</v>
      </c>
      <c r="F70" s="10" t="s">
        <v>8</v>
      </c>
      <c r="G70" s="13">
        <f>+'Unit Price '!E12</f>
        <v>119875</v>
      </c>
      <c r="K70" s="13" t="s">
        <v>9</v>
      </c>
      <c r="L70" s="13" t="s">
        <v>8</v>
      </c>
      <c r="M70" s="13">
        <f>SUM(G70*B70)</f>
        <v>65212.000000000007</v>
      </c>
      <c r="N70" s="13"/>
      <c r="O70" s="13"/>
      <c r="P70" s="13"/>
      <c r="Q70" s="14"/>
      <c r="R70" s="13"/>
    </row>
    <row r="71" spans="2:18" ht="15.6" customHeight="1" x14ac:dyDescent="0.25">
      <c r="B71" s="15">
        <v>0.6</v>
      </c>
      <c r="C71" s="10" t="s">
        <v>44</v>
      </c>
      <c r="D71" s="10" t="s">
        <v>296</v>
      </c>
      <c r="E71" s="10" t="s">
        <v>15</v>
      </c>
      <c r="F71" s="10" t="s">
        <v>8</v>
      </c>
      <c r="G71" s="13">
        <f>+'Unit Price '!E113</f>
        <v>164400</v>
      </c>
      <c r="H71" s="13" t="s">
        <v>13</v>
      </c>
      <c r="I71" s="13" t="s">
        <v>8</v>
      </c>
      <c r="J71" s="13">
        <f>SUM(G71*B71)</f>
        <v>98640</v>
      </c>
      <c r="K71" s="13"/>
      <c r="L71" s="13"/>
      <c r="M71" s="13"/>
      <c r="N71" s="13"/>
      <c r="O71" s="13"/>
      <c r="P71" s="13"/>
      <c r="Q71" s="14"/>
      <c r="R71" s="13"/>
    </row>
    <row r="72" spans="2:18" ht="15.6" customHeight="1" x14ac:dyDescent="0.25">
      <c r="B72" s="15">
        <v>0.06</v>
      </c>
      <c r="C72" s="10" t="s">
        <v>44</v>
      </c>
      <c r="D72" s="10" t="s">
        <v>301</v>
      </c>
      <c r="E72" s="10" t="s">
        <v>15</v>
      </c>
      <c r="F72" s="10" t="s">
        <v>8</v>
      </c>
      <c r="G72" s="13">
        <f>+'Unit Price '!E112</f>
        <v>178100</v>
      </c>
      <c r="H72" s="13" t="s">
        <v>13</v>
      </c>
      <c r="I72" s="13" t="s">
        <v>8</v>
      </c>
      <c r="J72" s="13">
        <f>SUM(G72*B72)</f>
        <v>10686</v>
      </c>
      <c r="K72" s="13"/>
      <c r="L72" s="13"/>
      <c r="M72" s="13"/>
      <c r="N72" s="13"/>
      <c r="O72" s="13"/>
      <c r="P72" s="13"/>
      <c r="Q72" s="14"/>
      <c r="R72" s="13"/>
    </row>
    <row r="73" spans="2:18" ht="15.6" customHeight="1" x14ac:dyDescent="0.25">
      <c r="B73" s="15">
        <v>1.5</v>
      </c>
      <c r="C73" s="10" t="s">
        <v>44</v>
      </c>
      <c r="D73" s="10" t="s">
        <v>230</v>
      </c>
      <c r="E73" s="10" t="s">
        <v>15</v>
      </c>
      <c r="F73" s="10" t="s">
        <v>8</v>
      </c>
      <c r="G73" s="13">
        <f>+'Unit Price '!E120</f>
        <v>109600</v>
      </c>
      <c r="H73" s="13" t="s">
        <v>13</v>
      </c>
      <c r="I73" s="13" t="s">
        <v>8</v>
      </c>
      <c r="J73" s="13">
        <f>SUM(G73*B73)</f>
        <v>164400</v>
      </c>
      <c r="K73" s="13"/>
      <c r="L73" s="13"/>
      <c r="M73" s="13"/>
      <c r="N73" s="13"/>
      <c r="O73" s="13"/>
      <c r="P73" s="13"/>
      <c r="Q73" s="14"/>
      <c r="R73" s="13"/>
    </row>
    <row r="74" spans="2:18" ht="15.6" customHeight="1" x14ac:dyDescent="0.25">
      <c r="B74" s="15">
        <v>7.4999999999999997E-2</v>
      </c>
      <c r="C74" s="10" t="s">
        <v>44</v>
      </c>
      <c r="D74" s="381" t="s">
        <v>261</v>
      </c>
      <c r="E74" s="10" t="s">
        <v>15</v>
      </c>
      <c r="F74" s="10" t="s">
        <v>8</v>
      </c>
      <c r="G74" s="13">
        <f>+'Unit Price '!E109</f>
        <v>178100</v>
      </c>
      <c r="H74" s="13" t="s">
        <v>13</v>
      </c>
      <c r="I74" s="13" t="s">
        <v>8</v>
      </c>
      <c r="J74" s="13">
        <f>SUM(G74*B74)</f>
        <v>13357.5</v>
      </c>
      <c r="K74" s="13"/>
      <c r="L74" s="13"/>
      <c r="M74" s="13"/>
      <c r="N74" s="13"/>
      <c r="O74" s="13"/>
      <c r="P74" s="13"/>
      <c r="Q74" s="14" t="s">
        <v>9</v>
      </c>
      <c r="R74" s="13"/>
    </row>
    <row r="75" spans="2:18" ht="15.6" customHeight="1" x14ac:dyDescent="0.25">
      <c r="B75" s="13"/>
      <c r="G75" s="13" t="s">
        <v>228</v>
      </c>
      <c r="H75" s="13" t="s">
        <v>13</v>
      </c>
      <c r="I75" s="13" t="s">
        <v>8</v>
      </c>
      <c r="J75" s="13">
        <f>SUM(J68:J74)</f>
        <v>287083.5</v>
      </c>
      <c r="K75" s="13" t="s">
        <v>9</v>
      </c>
      <c r="L75" s="13" t="s">
        <v>8</v>
      </c>
      <c r="M75" s="13">
        <f>SUM(M68:M74)</f>
        <v>514435</v>
      </c>
      <c r="N75" s="13" t="s">
        <v>13</v>
      </c>
      <c r="O75" s="13" t="s">
        <v>8</v>
      </c>
      <c r="P75" s="13">
        <f>SUM(M75+J75)</f>
        <v>801518.5</v>
      </c>
      <c r="Q75" s="14"/>
      <c r="R75" s="13"/>
    </row>
    <row r="76" spans="2:18" ht="15.6" customHeight="1" x14ac:dyDescent="0.25">
      <c r="B76" s="13"/>
      <c r="G76" s="13" t="s">
        <v>228</v>
      </c>
      <c r="H76" s="13"/>
      <c r="I76" s="13"/>
      <c r="J76" s="13"/>
      <c r="K76" s="13"/>
      <c r="L76" s="13"/>
      <c r="M76" s="13"/>
      <c r="N76" s="13" t="s">
        <v>13</v>
      </c>
      <c r="O76" s="13" t="s">
        <v>8</v>
      </c>
      <c r="P76" s="13">
        <f>SUM(P75:P75)</f>
        <v>801518.5</v>
      </c>
      <c r="Q76" s="14"/>
      <c r="R76" s="13"/>
    </row>
    <row r="77" spans="2:18" ht="15.6" customHeight="1" x14ac:dyDescent="0.25">
      <c r="B77" s="13"/>
      <c r="G77" s="13" t="s">
        <v>205</v>
      </c>
      <c r="H77" s="13"/>
      <c r="I77" s="13"/>
      <c r="J77" s="13"/>
      <c r="K77" s="13"/>
      <c r="L77" s="13"/>
      <c r="M77" s="13"/>
      <c r="N77" s="13" t="s">
        <v>13</v>
      </c>
      <c r="O77" s="13" t="s">
        <v>8</v>
      </c>
      <c r="P77" s="16">
        <f>INT(P76/1)*1</f>
        <v>801518</v>
      </c>
      <c r="Q77" s="14"/>
      <c r="R77" s="13"/>
    </row>
    <row r="78" spans="2:18" ht="15.6" customHeight="1" x14ac:dyDescent="0.25">
      <c r="B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4"/>
      <c r="R78" s="13"/>
    </row>
    <row r="79" spans="2:18" ht="15.6" customHeight="1" x14ac:dyDescent="0.25">
      <c r="B79" s="13" t="s">
        <v>70</v>
      </c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4"/>
      <c r="R79" s="13"/>
    </row>
    <row r="80" spans="2:18" ht="15.6" customHeight="1" x14ac:dyDescent="0.25">
      <c r="B80" s="15">
        <v>70</v>
      </c>
      <c r="C80" s="10" t="s">
        <v>22</v>
      </c>
      <c r="D80" s="10" t="s">
        <v>431</v>
      </c>
      <c r="E80" s="10" t="s">
        <v>15</v>
      </c>
      <c r="F80" s="10" t="s">
        <v>8</v>
      </c>
      <c r="G80" s="13">
        <f>+'Unit Price '!E22</f>
        <v>1164.5</v>
      </c>
      <c r="K80" s="13" t="s">
        <v>9</v>
      </c>
      <c r="L80" s="13" t="s">
        <v>8</v>
      </c>
      <c r="M80" s="13">
        <f>SUM(G80*B80)</f>
        <v>81515</v>
      </c>
      <c r="N80" s="13"/>
      <c r="O80" s="13"/>
      <c r="P80" s="13"/>
      <c r="Q80" s="14"/>
      <c r="R80" s="13"/>
    </row>
    <row r="81" spans="2:18" ht="15.6" customHeight="1" x14ac:dyDescent="0.25">
      <c r="B81" s="15">
        <v>11.5</v>
      </c>
      <c r="C81" s="10" t="s">
        <v>17</v>
      </c>
      <c r="D81" s="10" t="s">
        <v>43</v>
      </c>
      <c r="E81" s="10" t="s">
        <v>15</v>
      </c>
      <c r="F81" s="10" t="s">
        <v>8</v>
      </c>
      <c r="G81" s="13">
        <f>G69</f>
        <v>1918</v>
      </c>
      <c r="K81" s="13" t="s">
        <v>9</v>
      </c>
      <c r="L81" s="13" t="s">
        <v>8</v>
      </c>
      <c r="M81" s="13">
        <f>SUM(G81*B81)</f>
        <v>22057</v>
      </c>
      <c r="N81" s="13"/>
      <c r="O81" s="13"/>
      <c r="P81" s="13"/>
      <c r="Q81" s="14"/>
      <c r="R81" s="13"/>
    </row>
    <row r="82" spans="2:18" ht="15.6" customHeight="1" x14ac:dyDescent="0.25">
      <c r="B82" s="15">
        <v>4.2999999999999997E-2</v>
      </c>
      <c r="C82" s="10" t="s">
        <v>16</v>
      </c>
      <c r="D82" s="10" t="s">
        <v>302</v>
      </c>
      <c r="E82" s="10" t="s">
        <v>15</v>
      </c>
      <c r="F82" s="10" t="s">
        <v>8</v>
      </c>
      <c r="G82" s="13">
        <f>+'Unit Price '!E12</f>
        <v>119875</v>
      </c>
      <c r="K82" s="13" t="s">
        <v>9</v>
      </c>
      <c r="L82" s="13" t="s">
        <v>8</v>
      </c>
      <c r="M82" s="13">
        <f>SUM(G82*B82)</f>
        <v>5154.625</v>
      </c>
      <c r="N82" s="13"/>
      <c r="O82" s="13"/>
      <c r="P82" s="13"/>
      <c r="Q82" s="14"/>
      <c r="R82" s="13"/>
    </row>
    <row r="83" spans="2:18" ht="15.6" customHeight="1" x14ac:dyDescent="0.25">
      <c r="B83" s="15">
        <v>0.1</v>
      </c>
      <c r="C83" s="10" t="s">
        <v>44</v>
      </c>
      <c r="D83" s="10" t="s">
        <v>294</v>
      </c>
      <c r="E83" s="10" t="s">
        <v>15</v>
      </c>
      <c r="F83" s="10" t="s">
        <v>8</v>
      </c>
      <c r="G83" s="13">
        <f>+'Unit Price '!E113</f>
        <v>164400</v>
      </c>
      <c r="H83" s="13" t="s">
        <v>13</v>
      </c>
      <c r="I83" s="13" t="s">
        <v>8</v>
      </c>
      <c r="J83" s="13">
        <f>SUM(G83*B83)</f>
        <v>16440</v>
      </c>
      <c r="K83" s="13"/>
      <c r="L83" s="13"/>
      <c r="M83" s="13"/>
      <c r="N83" s="13"/>
      <c r="O83" s="13"/>
      <c r="P83" s="13"/>
      <c r="Q83" s="14"/>
      <c r="R83" s="13"/>
    </row>
    <row r="84" spans="2:18" ht="15.6" customHeight="1" x14ac:dyDescent="0.25">
      <c r="B84" s="15">
        <v>0.01</v>
      </c>
      <c r="C84" s="10" t="s">
        <v>44</v>
      </c>
      <c r="D84" s="10" t="s">
        <v>301</v>
      </c>
      <c r="E84" s="10" t="s">
        <v>15</v>
      </c>
      <c r="F84" s="10" t="s">
        <v>8</v>
      </c>
      <c r="G84" s="13">
        <f>+'Unit Price '!E112</f>
        <v>178100</v>
      </c>
      <c r="H84" s="13" t="s">
        <v>13</v>
      </c>
      <c r="I84" s="13" t="s">
        <v>8</v>
      </c>
      <c r="J84" s="13">
        <f>SUM(G84*B84)</f>
        <v>1781</v>
      </c>
      <c r="K84" s="13"/>
      <c r="L84" s="13"/>
      <c r="M84" s="13"/>
      <c r="N84" s="13"/>
      <c r="O84" s="13"/>
      <c r="P84" s="13"/>
      <c r="Q84" s="14"/>
      <c r="R84" s="13"/>
    </row>
    <row r="85" spans="2:18" ht="15.6" customHeight="1" x14ac:dyDescent="0.25">
      <c r="B85" s="15">
        <v>0.3</v>
      </c>
      <c r="C85" s="10" t="s">
        <v>44</v>
      </c>
      <c r="D85" s="10" t="s">
        <v>230</v>
      </c>
      <c r="E85" s="10" t="s">
        <v>15</v>
      </c>
      <c r="F85" s="10" t="s">
        <v>8</v>
      </c>
      <c r="G85" s="13">
        <f>+'Unit Price '!E120</f>
        <v>109600</v>
      </c>
      <c r="H85" s="13" t="s">
        <v>13</v>
      </c>
      <c r="I85" s="13" t="s">
        <v>8</v>
      </c>
      <c r="J85" s="13">
        <f>SUM(G85*B85)</f>
        <v>32880</v>
      </c>
      <c r="K85" s="13"/>
      <c r="L85" s="13"/>
      <c r="M85" s="13"/>
      <c r="N85" s="13"/>
      <c r="O85" s="13"/>
      <c r="P85" s="13"/>
      <c r="Q85" s="14"/>
      <c r="R85" s="13"/>
    </row>
    <row r="86" spans="2:18" ht="15.6" customHeight="1" x14ac:dyDescent="0.25">
      <c r="B86" s="15">
        <v>1.4999999999999999E-2</v>
      </c>
      <c r="C86" s="10" t="s">
        <v>44</v>
      </c>
      <c r="D86" s="381" t="s">
        <v>261</v>
      </c>
      <c r="E86" s="10" t="s">
        <v>15</v>
      </c>
      <c r="F86" s="10" t="s">
        <v>8</v>
      </c>
      <c r="G86" s="13">
        <f>+'Unit Price '!E109</f>
        <v>178100</v>
      </c>
      <c r="H86" s="13" t="s">
        <v>13</v>
      </c>
      <c r="I86" s="13" t="s">
        <v>8</v>
      </c>
      <c r="J86" s="13">
        <f>SUM(G86*B86)</f>
        <v>2671.5</v>
      </c>
      <c r="K86" s="13"/>
      <c r="L86" s="13"/>
      <c r="M86" s="13"/>
      <c r="N86" s="13"/>
      <c r="O86" s="13"/>
      <c r="P86" s="13"/>
      <c r="Q86" s="14" t="s">
        <v>9</v>
      </c>
      <c r="R86" s="13"/>
    </row>
    <row r="87" spans="2:18" ht="15.6" customHeight="1" x14ac:dyDescent="0.25">
      <c r="B87" s="13"/>
      <c r="G87" s="13" t="s">
        <v>228</v>
      </c>
      <c r="H87" s="13" t="s">
        <v>13</v>
      </c>
      <c r="I87" s="13" t="s">
        <v>8</v>
      </c>
      <c r="J87" s="13">
        <f>SUM(J80:J86)</f>
        <v>53772.5</v>
      </c>
      <c r="K87" s="13" t="s">
        <v>9</v>
      </c>
      <c r="L87" s="13" t="s">
        <v>8</v>
      </c>
      <c r="M87" s="13">
        <f>SUM(M80:M86)</f>
        <v>108726.625</v>
      </c>
      <c r="N87" s="13" t="s">
        <v>13</v>
      </c>
      <c r="O87" s="13" t="s">
        <v>8</v>
      </c>
      <c r="P87" s="13">
        <f>SUM(M87+J87)</f>
        <v>162499.125</v>
      </c>
      <c r="Q87" s="14"/>
      <c r="R87" s="13"/>
    </row>
    <row r="88" spans="2:18" ht="15.6" customHeight="1" x14ac:dyDescent="0.25">
      <c r="B88" s="13"/>
      <c r="G88" s="13" t="s">
        <v>228</v>
      </c>
      <c r="H88" s="13"/>
      <c r="I88" s="13"/>
      <c r="J88" s="13"/>
      <c r="K88" s="13"/>
      <c r="L88" s="13"/>
      <c r="M88" s="13"/>
      <c r="N88" s="13" t="s">
        <v>13</v>
      </c>
      <c r="O88" s="13" t="s">
        <v>8</v>
      </c>
      <c r="P88" s="13">
        <f>SUM(P87:P87)</f>
        <v>162499.125</v>
      </c>
      <c r="Q88" s="14"/>
      <c r="R88" s="13"/>
    </row>
    <row r="89" spans="2:18" ht="15.6" customHeight="1" x14ac:dyDescent="0.25">
      <c r="B89" s="13"/>
      <c r="G89" s="13" t="s">
        <v>205</v>
      </c>
      <c r="H89" s="13"/>
      <c r="I89" s="13"/>
      <c r="J89" s="13"/>
      <c r="K89" s="13"/>
      <c r="L89" s="13"/>
      <c r="M89" s="13"/>
      <c r="N89" s="13" t="s">
        <v>13</v>
      </c>
      <c r="O89" s="13" t="s">
        <v>8</v>
      </c>
      <c r="P89" s="16">
        <f>INT(P88/1)*1</f>
        <v>162499</v>
      </c>
      <c r="Q89" s="14"/>
      <c r="R89" s="13"/>
    </row>
    <row r="90" spans="2:18" ht="15.6" customHeight="1" x14ac:dyDescent="0.25">
      <c r="B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4"/>
      <c r="R90" s="13"/>
    </row>
    <row r="91" spans="2:18" ht="15.6" customHeight="1" x14ac:dyDescent="0.25">
      <c r="B91" s="13" t="s">
        <v>432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4"/>
      <c r="R91" s="13"/>
    </row>
    <row r="92" spans="2:18" ht="15.6" customHeight="1" x14ac:dyDescent="0.25">
      <c r="B92" s="15">
        <v>5.2</v>
      </c>
      <c r="C92" s="10" t="s">
        <v>17</v>
      </c>
      <c r="D92" s="10" t="s">
        <v>43</v>
      </c>
      <c r="E92" s="10" t="s">
        <v>15</v>
      </c>
      <c r="F92" s="10" t="s">
        <v>8</v>
      </c>
      <c r="G92" s="13">
        <f>G81</f>
        <v>1918</v>
      </c>
      <c r="K92" s="13" t="s">
        <v>9</v>
      </c>
      <c r="L92" s="13" t="s">
        <v>8</v>
      </c>
      <c r="M92" s="13">
        <f>SUM(G92*B92)</f>
        <v>9973.6</v>
      </c>
      <c r="N92" s="13"/>
      <c r="O92" s="13"/>
      <c r="P92" s="13"/>
      <c r="Q92" s="14"/>
      <c r="R92" s="13"/>
    </row>
    <row r="93" spans="2:18" ht="15.6" customHeight="1" x14ac:dyDescent="0.25">
      <c r="B93" s="15">
        <v>0.02</v>
      </c>
      <c r="C93" s="10" t="s">
        <v>16</v>
      </c>
      <c r="D93" s="10" t="s">
        <v>302</v>
      </c>
      <c r="E93" s="10" t="s">
        <v>15</v>
      </c>
      <c r="F93" s="10" t="s">
        <v>8</v>
      </c>
      <c r="G93" s="13">
        <f>+'Unit Price '!E12</f>
        <v>119875</v>
      </c>
      <c r="K93" s="13" t="s">
        <v>9</v>
      </c>
      <c r="L93" s="13" t="s">
        <v>8</v>
      </c>
      <c r="M93" s="13">
        <f>SUM(G93*B93)</f>
        <v>2397.5</v>
      </c>
      <c r="N93" s="13"/>
      <c r="O93" s="13"/>
      <c r="P93" s="13"/>
      <c r="Q93" s="14"/>
      <c r="R93" s="13"/>
    </row>
    <row r="94" spans="2:18" ht="15.6" customHeight="1" x14ac:dyDescent="0.25">
      <c r="B94" s="15">
        <v>0.15</v>
      </c>
      <c r="C94" s="10" t="s">
        <v>44</v>
      </c>
      <c r="D94" s="10" t="s">
        <v>296</v>
      </c>
      <c r="E94" s="10" t="s">
        <v>15</v>
      </c>
      <c r="F94" s="10" t="s">
        <v>8</v>
      </c>
      <c r="G94" s="13">
        <f>+'Unit Price '!E113</f>
        <v>164400</v>
      </c>
      <c r="H94" s="13" t="s">
        <v>13</v>
      </c>
      <c r="I94" s="13" t="s">
        <v>8</v>
      </c>
      <c r="J94" s="13">
        <f>SUM(G94*B94)</f>
        <v>24660</v>
      </c>
      <c r="K94" s="13"/>
      <c r="L94" s="13"/>
      <c r="M94" s="13"/>
      <c r="N94" s="13"/>
      <c r="O94" s="13"/>
      <c r="P94" s="13"/>
      <c r="Q94" s="14"/>
      <c r="R94" s="13"/>
    </row>
    <row r="95" spans="2:18" ht="15.6" customHeight="1" x14ac:dyDescent="0.25">
      <c r="B95" s="15">
        <v>1.4999999999999999E-2</v>
      </c>
      <c r="C95" s="10" t="s">
        <v>44</v>
      </c>
      <c r="D95" s="10" t="s">
        <v>301</v>
      </c>
      <c r="E95" s="10" t="s">
        <v>15</v>
      </c>
      <c r="F95" s="10" t="s">
        <v>8</v>
      </c>
      <c r="G95" s="13">
        <f>+'Unit Price '!E112</f>
        <v>178100</v>
      </c>
      <c r="H95" s="13" t="s">
        <v>13</v>
      </c>
      <c r="I95" s="13" t="s">
        <v>8</v>
      </c>
      <c r="J95" s="13">
        <f>SUM(G95*B95)</f>
        <v>2671.5</v>
      </c>
      <c r="K95" s="13"/>
      <c r="L95" s="13"/>
      <c r="M95" s="13"/>
      <c r="N95" s="13"/>
      <c r="O95" s="13"/>
      <c r="P95" s="13"/>
      <c r="Q95" s="14"/>
      <c r="R95" s="13"/>
    </row>
    <row r="96" spans="2:18" ht="15.6" customHeight="1" x14ac:dyDescent="0.25">
      <c r="B96" s="15">
        <v>0.2</v>
      </c>
      <c r="C96" s="10" t="s">
        <v>44</v>
      </c>
      <c r="D96" s="10" t="s">
        <v>230</v>
      </c>
      <c r="E96" s="10" t="s">
        <v>15</v>
      </c>
      <c r="F96" s="10" t="s">
        <v>8</v>
      </c>
      <c r="G96" s="13">
        <f>+'Unit Price '!E120</f>
        <v>109600</v>
      </c>
      <c r="H96" s="13" t="s">
        <v>13</v>
      </c>
      <c r="I96" s="13" t="s">
        <v>8</v>
      </c>
      <c r="J96" s="13">
        <f>SUM(G96*B96)</f>
        <v>21920</v>
      </c>
      <c r="K96" s="13"/>
      <c r="L96" s="13"/>
      <c r="M96" s="13"/>
      <c r="N96" s="13"/>
      <c r="O96" s="13"/>
      <c r="P96" s="13"/>
      <c r="Q96" s="14"/>
      <c r="R96" s="13"/>
    </row>
    <row r="97" spans="2:18" ht="15.6" customHeight="1" x14ac:dyDescent="0.25">
      <c r="B97" s="15">
        <v>0.01</v>
      </c>
      <c r="C97" s="10" t="s">
        <v>44</v>
      </c>
      <c r="D97" s="381" t="s">
        <v>261</v>
      </c>
      <c r="E97" s="10" t="s">
        <v>15</v>
      </c>
      <c r="F97" s="10" t="s">
        <v>8</v>
      </c>
      <c r="G97" s="13">
        <f>+'Unit Price '!E109</f>
        <v>178100</v>
      </c>
      <c r="H97" s="13" t="s">
        <v>13</v>
      </c>
      <c r="I97" s="13" t="s">
        <v>8</v>
      </c>
      <c r="J97" s="13">
        <f>SUM(G97*B97)</f>
        <v>1781</v>
      </c>
      <c r="K97" s="13"/>
      <c r="L97" s="13"/>
      <c r="M97" s="13"/>
      <c r="N97" s="13"/>
      <c r="O97" s="13"/>
      <c r="P97" s="13"/>
      <c r="Q97" s="14" t="s">
        <v>9</v>
      </c>
      <c r="R97" s="13"/>
    </row>
    <row r="98" spans="2:18" ht="15.6" customHeight="1" x14ac:dyDescent="0.25">
      <c r="B98" s="13"/>
      <c r="F98" s="13"/>
      <c r="G98" s="13" t="s">
        <v>228</v>
      </c>
      <c r="H98" s="13" t="s">
        <v>13</v>
      </c>
      <c r="I98" s="13" t="s">
        <v>8</v>
      </c>
      <c r="J98" s="13">
        <f>SUM(J92:J97)</f>
        <v>51032.5</v>
      </c>
      <c r="K98" s="13" t="s">
        <v>9</v>
      </c>
      <c r="L98" s="13" t="s">
        <v>8</v>
      </c>
      <c r="M98" s="13">
        <f>SUM(M92:M97)</f>
        <v>12371.1</v>
      </c>
      <c r="N98" s="13" t="s">
        <v>13</v>
      </c>
      <c r="O98" s="13" t="s">
        <v>8</v>
      </c>
      <c r="P98" s="13">
        <f>SUM(M98+J98)</f>
        <v>63403.6</v>
      </c>
      <c r="Q98" s="14"/>
      <c r="R98" s="13"/>
    </row>
    <row r="99" spans="2:18" ht="15.6" customHeight="1" x14ac:dyDescent="0.25">
      <c r="B99" s="13"/>
      <c r="G99" s="13" t="s">
        <v>228</v>
      </c>
      <c r="H99" s="13"/>
      <c r="I99" s="13"/>
      <c r="J99" s="13"/>
      <c r="K99" s="13"/>
      <c r="L99" s="13"/>
      <c r="M99" s="13"/>
      <c r="N99" s="13" t="s">
        <v>13</v>
      </c>
      <c r="O99" s="13" t="s">
        <v>8</v>
      </c>
      <c r="P99" s="13">
        <f>SUM(P98:P98)</f>
        <v>63403.6</v>
      </c>
      <c r="Q99" s="14"/>
      <c r="R99" s="13"/>
    </row>
    <row r="100" spans="2:18" ht="15.6" customHeight="1" x14ac:dyDescent="0.25">
      <c r="B100" s="13"/>
      <c r="G100" s="13" t="s">
        <v>205</v>
      </c>
      <c r="H100" s="13"/>
      <c r="I100" s="13"/>
      <c r="J100" s="13"/>
      <c r="K100" s="13"/>
      <c r="L100" s="13"/>
      <c r="M100" s="13"/>
      <c r="N100" s="13" t="s">
        <v>13</v>
      </c>
      <c r="O100" s="13" t="s">
        <v>8</v>
      </c>
      <c r="P100" s="16">
        <f>INT(P99/1)*1</f>
        <v>63403</v>
      </c>
      <c r="Q100" s="14"/>
      <c r="R100" s="13"/>
    </row>
    <row r="101" spans="2:18" ht="15.6" customHeight="1" x14ac:dyDescent="0.25">
      <c r="B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4"/>
      <c r="R101" s="13"/>
    </row>
    <row r="102" spans="2:18" ht="15.6" customHeight="1" x14ac:dyDescent="0.25">
      <c r="B102" s="13" t="s">
        <v>433</v>
      </c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4"/>
      <c r="R102" s="13"/>
    </row>
    <row r="103" spans="2:18" ht="15.6" customHeight="1" x14ac:dyDescent="0.25">
      <c r="B103" s="15">
        <f>0.026*50</f>
        <v>1.3</v>
      </c>
      <c r="C103" s="10" t="s">
        <v>17</v>
      </c>
      <c r="D103" s="10" t="s">
        <v>43</v>
      </c>
      <c r="E103" s="10" t="s">
        <v>15</v>
      </c>
      <c r="F103" s="10" t="s">
        <v>8</v>
      </c>
      <c r="G103" s="13">
        <f t="shared" ref="G103:G108" si="1">G92</f>
        <v>1918</v>
      </c>
      <c r="K103" s="13" t="s">
        <v>9</v>
      </c>
      <c r="L103" s="13" t="s">
        <v>8</v>
      </c>
      <c r="M103" s="13">
        <f>SUM(G103*B103)</f>
        <v>2493.4</v>
      </c>
      <c r="N103" s="13"/>
      <c r="O103" s="13"/>
      <c r="P103" s="13"/>
      <c r="Q103" s="14"/>
      <c r="R103" s="13"/>
    </row>
    <row r="104" spans="2:18" ht="15.6" customHeight="1" x14ac:dyDescent="0.25">
      <c r="B104" s="15">
        <v>4.1999999999999997E-3</v>
      </c>
      <c r="C104" s="10" t="s">
        <v>16</v>
      </c>
      <c r="D104" s="10" t="s">
        <v>303</v>
      </c>
      <c r="E104" s="10" t="s">
        <v>15</v>
      </c>
      <c r="F104" s="10" t="s">
        <v>8</v>
      </c>
      <c r="G104" s="13">
        <f t="shared" si="1"/>
        <v>119875</v>
      </c>
      <c r="K104" s="13" t="s">
        <v>9</v>
      </c>
      <c r="L104" s="13" t="s">
        <v>8</v>
      </c>
      <c r="M104" s="13">
        <f>SUM(G104*B104)</f>
        <v>503.47499999999997</v>
      </c>
      <c r="N104" s="13"/>
      <c r="O104" s="13"/>
      <c r="P104" s="13"/>
      <c r="Q104" s="14"/>
      <c r="R104" s="13"/>
    </row>
    <row r="105" spans="2:18" ht="15.6" customHeight="1" x14ac:dyDescent="0.25">
      <c r="B105" s="15">
        <v>0.04</v>
      </c>
      <c r="C105" s="10" t="s">
        <v>44</v>
      </c>
      <c r="D105" s="10" t="s">
        <v>296</v>
      </c>
      <c r="E105" s="10" t="s">
        <v>15</v>
      </c>
      <c r="F105" s="10" t="s">
        <v>8</v>
      </c>
      <c r="G105" s="13">
        <f t="shared" si="1"/>
        <v>164400</v>
      </c>
      <c r="H105" s="13" t="s">
        <v>13</v>
      </c>
      <c r="I105" s="13" t="s">
        <v>8</v>
      </c>
      <c r="J105" s="13">
        <f>SUM(G105*B105)</f>
        <v>6576</v>
      </c>
      <c r="K105" s="13"/>
      <c r="L105" s="13"/>
      <c r="M105" s="13"/>
      <c r="N105" s="13"/>
      <c r="O105" s="13"/>
      <c r="P105" s="13"/>
      <c r="Q105" s="14"/>
      <c r="R105" s="13"/>
    </row>
    <row r="106" spans="2:18" ht="15.6" customHeight="1" x14ac:dyDescent="0.25">
      <c r="B106" s="15">
        <v>4.0000000000000001E-3</v>
      </c>
      <c r="C106" s="10" t="s">
        <v>44</v>
      </c>
      <c r="D106" s="10" t="s">
        <v>301</v>
      </c>
      <c r="E106" s="10" t="s">
        <v>15</v>
      </c>
      <c r="F106" s="10" t="s">
        <v>8</v>
      </c>
      <c r="G106" s="13">
        <f t="shared" si="1"/>
        <v>178100</v>
      </c>
      <c r="H106" s="13" t="s">
        <v>13</v>
      </c>
      <c r="I106" s="13" t="s">
        <v>8</v>
      </c>
      <c r="J106" s="13">
        <f>SUM(G106*B106)</f>
        <v>712.4</v>
      </c>
      <c r="K106" s="13"/>
      <c r="L106" s="13"/>
      <c r="M106" s="13"/>
      <c r="N106" s="13"/>
      <c r="O106" s="13"/>
      <c r="P106" s="13"/>
      <c r="Q106" s="14"/>
      <c r="R106" s="13"/>
    </row>
    <row r="107" spans="2:18" ht="15.6" customHeight="1" x14ac:dyDescent="0.25">
      <c r="B107" s="15">
        <v>0.08</v>
      </c>
      <c r="C107" s="10" t="s">
        <v>44</v>
      </c>
      <c r="D107" s="10" t="s">
        <v>230</v>
      </c>
      <c r="E107" s="10" t="s">
        <v>15</v>
      </c>
      <c r="F107" s="10" t="s">
        <v>8</v>
      </c>
      <c r="G107" s="13">
        <f t="shared" si="1"/>
        <v>109600</v>
      </c>
      <c r="H107" s="13" t="s">
        <v>13</v>
      </c>
      <c r="I107" s="13" t="s">
        <v>8</v>
      </c>
      <c r="J107" s="13">
        <f>SUM(G107*B107)</f>
        <v>8768</v>
      </c>
      <c r="K107" s="13"/>
      <c r="L107" s="13"/>
      <c r="M107" s="13"/>
      <c r="N107" s="13"/>
      <c r="O107" s="13"/>
      <c r="P107" s="13"/>
      <c r="Q107" s="14"/>
      <c r="R107" s="13"/>
    </row>
    <row r="108" spans="2:18" ht="15.6" customHeight="1" x14ac:dyDescent="0.25">
      <c r="B108" s="15">
        <v>4.0000000000000001E-3</v>
      </c>
      <c r="C108" s="10" t="s">
        <v>44</v>
      </c>
      <c r="D108" s="381" t="s">
        <v>261</v>
      </c>
      <c r="E108" s="10" t="s">
        <v>15</v>
      </c>
      <c r="F108" s="10" t="s">
        <v>8</v>
      </c>
      <c r="G108" s="13">
        <f t="shared" si="1"/>
        <v>178100</v>
      </c>
      <c r="H108" s="13" t="s">
        <v>13</v>
      </c>
      <c r="I108" s="13" t="s">
        <v>8</v>
      </c>
      <c r="J108" s="13">
        <f>SUM(G108*B108)</f>
        <v>712.4</v>
      </c>
      <c r="K108" s="13"/>
      <c r="L108" s="13"/>
      <c r="M108" s="13"/>
      <c r="N108" s="13"/>
      <c r="O108" s="13"/>
      <c r="P108" s="13"/>
      <c r="Q108" s="14"/>
      <c r="R108" s="13"/>
    </row>
    <row r="109" spans="2:18" ht="15.6" customHeight="1" x14ac:dyDescent="0.25">
      <c r="B109" s="13"/>
      <c r="F109" s="13"/>
      <c r="G109" s="13" t="s">
        <v>228</v>
      </c>
      <c r="H109" s="13" t="s">
        <v>13</v>
      </c>
      <c r="I109" s="13" t="s">
        <v>8</v>
      </c>
      <c r="J109" s="13">
        <f>SUM(J103:J108)</f>
        <v>16768.8</v>
      </c>
      <c r="K109" s="13" t="s">
        <v>9</v>
      </c>
      <c r="L109" s="13" t="s">
        <v>8</v>
      </c>
      <c r="M109" s="13">
        <f>SUM(M103:M108)</f>
        <v>2996.875</v>
      </c>
      <c r="N109" s="13" t="s">
        <v>13</v>
      </c>
      <c r="O109" s="13" t="s">
        <v>8</v>
      </c>
      <c r="P109" s="13">
        <f>SUM(M109+J109)</f>
        <v>19765.674999999999</v>
      </c>
      <c r="Q109" s="14"/>
      <c r="R109" s="13"/>
    </row>
    <row r="110" spans="2:18" ht="15.6" customHeight="1" x14ac:dyDescent="0.25">
      <c r="B110" s="13"/>
      <c r="G110" s="13" t="s">
        <v>228</v>
      </c>
      <c r="H110" s="13"/>
      <c r="I110" s="13"/>
      <c r="J110" s="13"/>
      <c r="K110" s="13"/>
      <c r="L110" s="13"/>
      <c r="M110" s="13"/>
      <c r="N110" s="13" t="s">
        <v>13</v>
      </c>
      <c r="O110" s="13" t="s">
        <v>8</v>
      </c>
      <c r="P110" s="16">
        <f>SUM(P109:P109)</f>
        <v>19765.674999999999</v>
      </c>
      <c r="Q110" s="14"/>
      <c r="R110" s="13"/>
    </row>
    <row r="111" spans="2:18" ht="15.6" customHeight="1" x14ac:dyDescent="0.25">
      <c r="B111" s="13"/>
      <c r="G111" s="13" t="s">
        <v>205</v>
      </c>
      <c r="H111" s="13"/>
      <c r="I111" s="13"/>
      <c r="J111" s="13"/>
      <c r="K111" s="13"/>
      <c r="L111" s="13"/>
      <c r="M111" s="13"/>
      <c r="N111" s="13" t="s">
        <v>13</v>
      </c>
      <c r="O111" s="13" t="s">
        <v>8</v>
      </c>
      <c r="P111" s="13">
        <f>INT(P110/1)*1</f>
        <v>19765</v>
      </c>
      <c r="Q111" s="14"/>
      <c r="R111" s="13"/>
    </row>
    <row r="112" spans="2:18" s="29" customFormat="1" ht="15.6" customHeight="1" x14ac:dyDescent="0.25">
      <c r="B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30"/>
      <c r="R112" s="28"/>
    </row>
    <row r="113" spans="2:18" s="29" customFormat="1" ht="15.6" customHeight="1" x14ac:dyDescent="0.25">
      <c r="B113" s="223" t="s">
        <v>428</v>
      </c>
      <c r="D113" s="21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30"/>
      <c r="R113" s="28"/>
    </row>
    <row r="114" spans="2:18" s="29" customFormat="1" ht="15.6" customHeight="1" x14ac:dyDescent="0.25">
      <c r="B114" s="219">
        <v>1.1000000000000001</v>
      </c>
      <c r="C114" s="220" t="s">
        <v>74</v>
      </c>
      <c r="D114" s="221" t="s">
        <v>304</v>
      </c>
      <c r="E114" s="10" t="s">
        <v>15</v>
      </c>
      <c r="F114" s="10" t="s">
        <v>8</v>
      </c>
      <c r="G114" s="13">
        <f>'Unit Price '!E44</f>
        <v>4110000</v>
      </c>
      <c r="H114" s="10"/>
      <c r="I114" s="10"/>
      <c r="J114" s="10"/>
      <c r="K114" s="13" t="s">
        <v>9</v>
      </c>
      <c r="L114" s="13" t="s">
        <v>8</v>
      </c>
      <c r="M114" s="13">
        <f>SUM(G114*B114)</f>
        <v>4521000</v>
      </c>
      <c r="N114" s="13"/>
      <c r="O114" s="13"/>
      <c r="P114" s="13"/>
      <c r="Q114" s="30"/>
      <c r="R114" s="28"/>
    </row>
    <row r="115" spans="2:18" s="29" customFormat="1" ht="15.6" customHeight="1" x14ac:dyDescent="0.25">
      <c r="B115" s="219">
        <v>1.25</v>
      </c>
      <c r="C115" s="220" t="s">
        <v>58</v>
      </c>
      <c r="D115" s="221" t="s">
        <v>305</v>
      </c>
      <c r="E115" s="10" t="s">
        <v>15</v>
      </c>
      <c r="F115" s="10" t="s">
        <v>8</v>
      </c>
      <c r="G115" s="13">
        <f>'Unit Price '!E27</f>
        <v>27400</v>
      </c>
      <c r="H115" s="10"/>
      <c r="I115" s="10"/>
      <c r="J115" s="10"/>
      <c r="K115" s="13" t="s">
        <v>9</v>
      </c>
      <c r="L115" s="13" t="s">
        <v>8</v>
      </c>
      <c r="M115" s="13">
        <f>SUM(G115*B115)</f>
        <v>34250</v>
      </c>
      <c r="N115" s="13"/>
      <c r="O115" s="13"/>
      <c r="P115" s="13"/>
      <c r="Q115" s="30"/>
      <c r="R115" s="28"/>
    </row>
    <row r="116" spans="2:18" s="29" customFormat="1" ht="15.6" customHeight="1" x14ac:dyDescent="0.25">
      <c r="B116" s="222">
        <v>21</v>
      </c>
      <c r="C116" s="220" t="s">
        <v>72</v>
      </c>
      <c r="D116" s="382" t="s">
        <v>286</v>
      </c>
      <c r="E116" s="10" t="s">
        <v>15</v>
      </c>
      <c r="F116" s="10" t="s">
        <v>8</v>
      </c>
      <c r="G116" s="13">
        <f>'Unit Price '!E111</f>
        <v>164400</v>
      </c>
      <c r="H116" s="13" t="s">
        <v>13</v>
      </c>
      <c r="I116" s="13" t="s">
        <v>8</v>
      </c>
      <c r="J116" s="13">
        <f>SUM(G116*B116)</f>
        <v>3452400</v>
      </c>
      <c r="K116" s="13"/>
      <c r="L116" s="13"/>
      <c r="M116" s="13"/>
      <c r="N116" s="13"/>
      <c r="O116" s="13"/>
      <c r="P116" s="13"/>
      <c r="Q116" s="30"/>
      <c r="R116" s="28"/>
    </row>
    <row r="117" spans="2:18" s="29" customFormat="1" ht="15.6" customHeight="1" x14ac:dyDescent="0.25">
      <c r="B117" s="222">
        <v>2.1</v>
      </c>
      <c r="C117" s="220" t="s">
        <v>72</v>
      </c>
      <c r="D117" s="18" t="s">
        <v>287</v>
      </c>
      <c r="E117" s="10" t="s">
        <v>15</v>
      </c>
      <c r="F117" s="10" t="s">
        <v>8</v>
      </c>
      <c r="G117" s="13">
        <f>'Unit Price '!E110</f>
        <v>178100</v>
      </c>
      <c r="H117" s="13" t="s">
        <v>13</v>
      </c>
      <c r="I117" s="13" t="s">
        <v>8</v>
      </c>
      <c r="J117" s="13">
        <f>SUM(G117*B117)</f>
        <v>374010</v>
      </c>
      <c r="K117" s="13"/>
      <c r="L117" s="13"/>
      <c r="M117" s="13"/>
      <c r="N117" s="13"/>
      <c r="O117" s="13"/>
      <c r="P117" s="13"/>
      <c r="Q117" s="30"/>
      <c r="R117" s="28"/>
    </row>
    <row r="118" spans="2:18" s="29" customFormat="1" ht="15.6" customHeight="1" x14ac:dyDescent="0.25">
      <c r="B118" s="222">
        <v>7</v>
      </c>
      <c r="C118" s="220" t="s">
        <v>72</v>
      </c>
      <c r="D118" s="10" t="s">
        <v>230</v>
      </c>
      <c r="E118" s="10" t="s">
        <v>15</v>
      </c>
      <c r="F118" s="10" t="s">
        <v>8</v>
      </c>
      <c r="G118" s="13">
        <f>'Unit Price '!E120</f>
        <v>109600</v>
      </c>
      <c r="H118" s="13" t="s">
        <v>13</v>
      </c>
      <c r="I118" s="13" t="s">
        <v>8</v>
      </c>
      <c r="J118" s="13">
        <f>SUM(G118*B118)</f>
        <v>767200</v>
      </c>
      <c r="K118" s="13"/>
      <c r="L118" s="13"/>
      <c r="M118" s="13"/>
      <c r="N118" s="13"/>
      <c r="O118" s="13"/>
      <c r="P118" s="13"/>
      <c r="Q118" s="30"/>
      <c r="R118" s="28"/>
    </row>
    <row r="119" spans="2:18" s="29" customFormat="1" ht="15.6" customHeight="1" x14ac:dyDescent="0.25">
      <c r="B119" s="222">
        <v>0.35</v>
      </c>
      <c r="C119" s="220" t="s">
        <v>72</v>
      </c>
      <c r="D119" s="381" t="s">
        <v>261</v>
      </c>
      <c r="E119" s="10" t="s">
        <v>15</v>
      </c>
      <c r="F119" s="10" t="s">
        <v>8</v>
      </c>
      <c r="G119" s="13">
        <f>'Unit Price '!E109</f>
        <v>178100</v>
      </c>
      <c r="H119" s="13" t="s">
        <v>13</v>
      </c>
      <c r="I119" s="13" t="s">
        <v>8</v>
      </c>
      <c r="J119" s="13">
        <f>SUM(G119*B119)</f>
        <v>62334.999999999993</v>
      </c>
      <c r="K119" s="13"/>
      <c r="L119" s="13"/>
      <c r="M119" s="13"/>
      <c r="N119" s="13"/>
      <c r="O119" s="13"/>
      <c r="P119" s="13"/>
      <c r="Q119" s="30"/>
      <c r="R119" s="28"/>
    </row>
    <row r="120" spans="2:18" s="29" customFormat="1" ht="15.6" customHeight="1" x14ac:dyDescent="0.25">
      <c r="B120" s="28"/>
      <c r="E120" s="10"/>
      <c r="F120" s="13"/>
      <c r="G120" s="13" t="s">
        <v>228</v>
      </c>
      <c r="H120" s="13" t="s">
        <v>13</v>
      </c>
      <c r="I120" s="13" t="s">
        <v>8</v>
      </c>
      <c r="J120" s="13">
        <f>SUM(J114:J119)</f>
        <v>4655945</v>
      </c>
      <c r="K120" s="13" t="s">
        <v>9</v>
      </c>
      <c r="L120" s="13" t="s">
        <v>8</v>
      </c>
      <c r="M120" s="13">
        <f>SUM(M114:M119)</f>
        <v>4555250</v>
      </c>
      <c r="N120" s="13" t="s">
        <v>13</v>
      </c>
      <c r="O120" s="13" t="s">
        <v>8</v>
      </c>
      <c r="P120" s="13">
        <f>SUM(M120+J120)</f>
        <v>9211195</v>
      </c>
      <c r="Q120" s="30"/>
      <c r="R120" s="28"/>
    </row>
    <row r="121" spans="2:18" s="29" customFormat="1" ht="15.6" customHeight="1" x14ac:dyDescent="0.25">
      <c r="B121" s="28"/>
      <c r="E121" s="10"/>
      <c r="F121" s="10"/>
      <c r="G121" s="13" t="s">
        <v>228</v>
      </c>
      <c r="H121" s="13"/>
      <c r="I121" s="13"/>
      <c r="J121" s="13"/>
      <c r="K121" s="13"/>
      <c r="L121" s="13"/>
      <c r="M121" s="13"/>
      <c r="N121" s="13" t="s">
        <v>13</v>
      </c>
      <c r="O121" s="13" t="s">
        <v>8</v>
      </c>
      <c r="P121" s="16">
        <f>SUM(P120:P120)</f>
        <v>9211195</v>
      </c>
      <c r="Q121" s="30"/>
      <c r="R121" s="28"/>
    </row>
    <row r="122" spans="2:18" s="29" customFormat="1" ht="15.6" customHeight="1" x14ac:dyDescent="0.25">
      <c r="B122" s="28"/>
      <c r="E122" s="10"/>
      <c r="F122" s="10"/>
      <c r="G122" s="13" t="s">
        <v>205</v>
      </c>
      <c r="H122" s="13"/>
      <c r="I122" s="13"/>
      <c r="J122" s="13"/>
      <c r="K122" s="13"/>
      <c r="L122" s="13"/>
      <c r="M122" s="13"/>
      <c r="N122" s="13" t="s">
        <v>13</v>
      </c>
      <c r="O122" s="13" t="s">
        <v>8</v>
      </c>
      <c r="P122" s="13">
        <f>INT(P121/1)*1</f>
        <v>9211195</v>
      </c>
      <c r="Q122" s="30"/>
      <c r="R122" s="28"/>
    </row>
    <row r="123" spans="2:18" s="29" customFormat="1" ht="15.6" customHeight="1" x14ac:dyDescent="0.25">
      <c r="B123" s="28"/>
      <c r="D123" s="214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30"/>
      <c r="R123" s="28"/>
    </row>
    <row r="124" spans="2:18" s="29" customFormat="1" ht="15.6" customHeight="1" x14ac:dyDescent="0.25">
      <c r="B124" s="91" t="s">
        <v>384</v>
      </c>
      <c r="D124" s="91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30"/>
      <c r="R124" s="28"/>
    </row>
    <row r="125" spans="2:18" s="29" customFormat="1" ht="15.6" customHeight="1" x14ac:dyDescent="0.25">
      <c r="B125" s="224">
        <v>6.4000000000000001E-2</v>
      </c>
      <c r="C125" s="209" t="s">
        <v>74</v>
      </c>
      <c r="D125" s="221" t="s">
        <v>304</v>
      </c>
      <c r="E125" s="10" t="s">
        <v>15</v>
      </c>
      <c r="F125" s="10" t="s">
        <v>8</v>
      </c>
      <c r="G125" s="13">
        <f>'Unit Price '!E47</f>
        <v>4110000</v>
      </c>
      <c r="H125" s="10"/>
      <c r="I125" s="10"/>
      <c r="J125" s="10"/>
      <c r="K125" s="13" t="s">
        <v>9</v>
      </c>
      <c r="L125" s="13" t="s">
        <v>8</v>
      </c>
      <c r="M125" s="13">
        <f>SUM(G125*B125)</f>
        <v>263040</v>
      </c>
      <c r="N125" s="13"/>
      <c r="O125" s="13"/>
      <c r="P125" s="13"/>
      <c r="Q125" s="30"/>
      <c r="R125" s="28"/>
    </row>
    <row r="126" spans="2:18" s="29" customFormat="1" ht="15.6" customHeight="1" x14ac:dyDescent="0.25">
      <c r="B126" s="224">
        <v>0.5</v>
      </c>
      <c r="C126" s="209" t="s">
        <v>58</v>
      </c>
      <c r="D126" s="91" t="s">
        <v>306</v>
      </c>
      <c r="E126" s="10" t="s">
        <v>15</v>
      </c>
      <c r="F126" s="10" t="s">
        <v>8</v>
      </c>
      <c r="G126" s="13">
        <f>'Unit Price '!E60</f>
        <v>26030</v>
      </c>
      <c r="H126" s="10"/>
      <c r="I126" s="10"/>
      <c r="J126" s="10"/>
      <c r="K126" s="13" t="s">
        <v>9</v>
      </c>
      <c r="L126" s="13" t="s">
        <v>8</v>
      </c>
      <c r="M126" s="13">
        <f>SUM(G126*B126)</f>
        <v>13015</v>
      </c>
      <c r="N126" s="13"/>
      <c r="O126" s="13"/>
      <c r="P126" s="13"/>
      <c r="Q126" s="30"/>
      <c r="R126" s="28"/>
    </row>
    <row r="127" spans="2:18" s="29" customFormat="1" ht="15.6" customHeight="1" x14ac:dyDescent="0.25">
      <c r="B127" s="210">
        <v>3</v>
      </c>
      <c r="C127" s="209" t="s">
        <v>72</v>
      </c>
      <c r="D127" s="382" t="s">
        <v>286</v>
      </c>
      <c r="E127" s="10" t="s">
        <v>15</v>
      </c>
      <c r="F127" s="10" t="s">
        <v>8</v>
      </c>
      <c r="G127" s="13">
        <f>'Unit Price '!E111</f>
        <v>164400</v>
      </c>
      <c r="H127" s="13" t="s">
        <v>13</v>
      </c>
      <c r="I127" s="13" t="s">
        <v>8</v>
      </c>
      <c r="J127" s="13">
        <f>SUM(G127*B127)</f>
        <v>493200</v>
      </c>
      <c r="K127" s="13"/>
      <c r="L127" s="13"/>
      <c r="M127" s="13"/>
      <c r="N127" s="13"/>
      <c r="O127" s="13"/>
      <c r="P127" s="13"/>
      <c r="Q127" s="30"/>
      <c r="R127" s="28"/>
    </row>
    <row r="128" spans="2:18" s="29" customFormat="1" ht="15.6" customHeight="1" x14ac:dyDescent="0.25">
      <c r="B128" s="210">
        <v>0.3</v>
      </c>
      <c r="C128" s="209" t="s">
        <v>72</v>
      </c>
      <c r="D128" s="18" t="s">
        <v>287</v>
      </c>
      <c r="E128" s="10" t="s">
        <v>15</v>
      </c>
      <c r="F128" s="10" t="s">
        <v>8</v>
      </c>
      <c r="G128" s="13">
        <f>'Unit Price '!E110</f>
        <v>178100</v>
      </c>
      <c r="H128" s="13" t="s">
        <v>13</v>
      </c>
      <c r="I128" s="13" t="s">
        <v>8</v>
      </c>
      <c r="J128" s="13">
        <f>SUM(G128*B128)</f>
        <v>53430</v>
      </c>
      <c r="K128" s="13"/>
      <c r="L128" s="13"/>
      <c r="M128" s="13"/>
      <c r="N128" s="13"/>
      <c r="O128" s="13"/>
      <c r="P128" s="13"/>
      <c r="Q128" s="30"/>
      <c r="R128" s="28"/>
    </row>
    <row r="129" spans="2:18" s="29" customFormat="1" ht="15.6" customHeight="1" x14ac:dyDescent="0.25">
      <c r="B129" s="210">
        <v>1</v>
      </c>
      <c r="C129" s="209" t="s">
        <v>72</v>
      </c>
      <c r="D129" s="10" t="s">
        <v>230</v>
      </c>
      <c r="E129" s="10" t="s">
        <v>15</v>
      </c>
      <c r="F129" s="10" t="s">
        <v>8</v>
      </c>
      <c r="G129" s="13">
        <f>'Unit Price '!E120</f>
        <v>109600</v>
      </c>
      <c r="H129" s="13" t="s">
        <v>13</v>
      </c>
      <c r="I129" s="13" t="s">
        <v>8</v>
      </c>
      <c r="J129" s="13">
        <f>SUM(G129*B129)</f>
        <v>109600</v>
      </c>
      <c r="K129" s="13"/>
      <c r="L129" s="13"/>
      <c r="M129" s="13"/>
      <c r="N129" s="13"/>
      <c r="O129" s="13"/>
      <c r="P129" s="13"/>
      <c r="Q129" s="30"/>
      <c r="R129" s="28"/>
    </row>
    <row r="130" spans="2:18" s="29" customFormat="1" ht="15.6" customHeight="1" x14ac:dyDescent="0.25">
      <c r="B130" s="210">
        <v>0.05</v>
      </c>
      <c r="C130" s="209" t="s">
        <v>72</v>
      </c>
      <c r="D130" s="381" t="s">
        <v>261</v>
      </c>
      <c r="E130" s="10" t="s">
        <v>15</v>
      </c>
      <c r="F130" s="10" t="s">
        <v>8</v>
      </c>
      <c r="G130" s="13">
        <f>'Unit Price '!E109</f>
        <v>178100</v>
      </c>
      <c r="H130" s="13" t="s">
        <v>13</v>
      </c>
      <c r="I130" s="13" t="s">
        <v>8</v>
      </c>
      <c r="J130" s="13">
        <f>SUM(G130*B130)</f>
        <v>8905</v>
      </c>
      <c r="K130" s="13"/>
      <c r="L130" s="13"/>
      <c r="M130" s="13"/>
      <c r="N130" s="13"/>
      <c r="O130" s="13"/>
      <c r="P130" s="13"/>
      <c r="Q130" s="30"/>
      <c r="R130" s="28"/>
    </row>
    <row r="131" spans="2:18" s="29" customFormat="1" ht="15.6" customHeight="1" x14ac:dyDescent="0.25">
      <c r="B131" s="28"/>
      <c r="E131" s="10"/>
      <c r="F131" s="13"/>
      <c r="G131" s="13" t="s">
        <v>228</v>
      </c>
      <c r="H131" s="13" t="s">
        <v>13</v>
      </c>
      <c r="I131" s="13" t="s">
        <v>8</v>
      </c>
      <c r="J131" s="13">
        <f>SUM(J125:J130)</f>
        <v>665135</v>
      </c>
      <c r="K131" s="13" t="s">
        <v>9</v>
      </c>
      <c r="L131" s="13" t="s">
        <v>8</v>
      </c>
      <c r="M131" s="13">
        <f>SUM(M125:M130)</f>
        <v>276055</v>
      </c>
      <c r="N131" s="13" t="s">
        <v>13</v>
      </c>
      <c r="O131" s="13" t="s">
        <v>8</v>
      </c>
      <c r="P131" s="13">
        <f>SUM(M131+J131)</f>
        <v>941190</v>
      </c>
      <c r="Q131" s="30"/>
      <c r="R131" s="28"/>
    </row>
    <row r="132" spans="2:18" s="29" customFormat="1" ht="15.6" customHeight="1" x14ac:dyDescent="0.25">
      <c r="B132" s="28"/>
      <c r="E132" s="10"/>
      <c r="F132" s="10"/>
      <c r="G132" s="13" t="s">
        <v>228</v>
      </c>
      <c r="H132" s="13"/>
      <c r="I132" s="13"/>
      <c r="J132" s="13"/>
      <c r="K132" s="13"/>
      <c r="L132" s="13"/>
      <c r="M132" s="13"/>
      <c r="N132" s="13" t="s">
        <v>13</v>
      </c>
      <c r="O132" s="13" t="s">
        <v>8</v>
      </c>
      <c r="P132" s="16">
        <f>SUM(P131:P131)</f>
        <v>941190</v>
      </c>
      <c r="Q132" s="30"/>
      <c r="R132" s="28"/>
    </row>
    <row r="133" spans="2:18" s="29" customFormat="1" ht="15.6" customHeight="1" x14ac:dyDescent="0.25">
      <c r="B133" s="28"/>
      <c r="E133" s="10"/>
      <c r="F133" s="10"/>
      <c r="G133" s="13" t="s">
        <v>205</v>
      </c>
      <c r="H133" s="13"/>
      <c r="I133" s="13"/>
      <c r="J133" s="13"/>
      <c r="K133" s="13"/>
      <c r="L133" s="13"/>
      <c r="M133" s="13"/>
      <c r="N133" s="13" t="s">
        <v>13</v>
      </c>
      <c r="O133" s="13" t="s">
        <v>8</v>
      </c>
      <c r="P133" s="13">
        <f>INT(P132/1)*1</f>
        <v>941190</v>
      </c>
      <c r="Q133" s="30"/>
      <c r="R133" s="28"/>
    </row>
    <row r="134" spans="2:18" s="29" customFormat="1" ht="15.6" customHeight="1" x14ac:dyDescent="0.25">
      <c r="B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30"/>
      <c r="R134" s="28"/>
    </row>
    <row r="135" spans="2:18" s="225" customFormat="1" ht="15.6" customHeight="1" x14ac:dyDescent="0.25">
      <c r="B135" s="91" t="s">
        <v>383</v>
      </c>
      <c r="C135" s="91"/>
      <c r="D135" s="91"/>
      <c r="G135" s="226"/>
      <c r="H135" s="226"/>
      <c r="I135" s="226"/>
      <c r="J135" s="226"/>
      <c r="K135" s="226"/>
      <c r="L135" s="226"/>
      <c r="M135" s="226"/>
      <c r="N135" s="226"/>
      <c r="O135" s="226"/>
      <c r="P135" s="226"/>
      <c r="Q135" s="227"/>
      <c r="R135" s="226"/>
    </row>
    <row r="136" spans="2:18" s="225" customFormat="1" ht="15.6" customHeight="1" x14ac:dyDescent="0.25">
      <c r="B136" s="208">
        <v>1.1000000000000001</v>
      </c>
      <c r="C136" s="209" t="s">
        <v>73</v>
      </c>
      <c r="D136" s="91" t="s">
        <v>122</v>
      </c>
      <c r="E136" s="225" t="s">
        <v>15</v>
      </c>
      <c r="F136" s="225" t="s">
        <v>8</v>
      </c>
      <c r="G136" s="226">
        <f>'Unit Price '!E34</f>
        <v>150700</v>
      </c>
      <c r="K136" s="226" t="s">
        <v>9</v>
      </c>
      <c r="L136" s="226" t="s">
        <v>8</v>
      </c>
      <c r="M136" s="226">
        <f>SUM(G136*B136)</f>
        <v>165770</v>
      </c>
      <c r="N136" s="226"/>
      <c r="O136" s="226"/>
      <c r="P136" s="226"/>
      <c r="Q136" s="227"/>
      <c r="R136" s="226"/>
    </row>
    <row r="137" spans="2:18" s="225" customFormat="1" ht="15.6" customHeight="1" x14ac:dyDescent="0.25">
      <c r="B137" s="208">
        <v>2</v>
      </c>
      <c r="C137" s="209" t="s">
        <v>71</v>
      </c>
      <c r="D137" s="91" t="s">
        <v>307</v>
      </c>
      <c r="E137" s="225" t="s">
        <v>15</v>
      </c>
      <c r="F137" s="225" t="s">
        <v>8</v>
      </c>
      <c r="G137" s="226">
        <f t="shared" ref="G137:G142" si="2">G103</f>
        <v>1918</v>
      </c>
      <c r="K137" s="226" t="s">
        <v>9</v>
      </c>
      <c r="L137" s="226" t="s">
        <v>8</v>
      </c>
      <c r="M137" s="226">
        <f>SUM(G137*B137)</f>
        <v>3836</v>
      </c>
      <c r="N137" s="226"/>
      <c r="O137" s="226"/>
      <c r="P137" s="226"/>
      <c r="Q137" s="227"/>
      <c r="R137" s="226"/>
    </row>
    <row r="138" spans="2:18" s="225" customFormat="1" ht="15.6" customHeight="1" x14ac:dyDescent="0.25">
      <c r="B138" s="208">
        <v>0.06</v>
      </c>
      <c r="C138" s="209" t="s">
        <v>124</v>
      </c>
      <c r="D138" s="91" t="s">
        <v>123</v>
      </c>
      <c r="E138" s="225" t="s">
        <v>15</v>
      </c>
      <c r="F138" s="225" t="s">
        <v>8</v>
      </c>
      <c r="G138" s="226">
        <f t="shared" si="2"/>
        <v>119875</v>
      </c>
      <c r="K138" s="226" t="s">
        <v>9</v>
      </c>
      <c r="L138" s="226" t="s">
        <v>8</v>
      </c>
      <c r="M138" s="226">
        <f>SUM(G138*B138)</f>
        <v>7192.5</v>
      </c>
      <c r="N138" s="226"/>
      <c r="O138" s="226"/>
      <c r="P138" s="226"/>
      <c r="Q138" s="227"/>
      <c r="R138" s="226"/>
    </row>
    <row r="139" spans="2:18" s="225" customFormat="1" ht="15.6" customHeight="1" x14ac:dyDescent="0.25">
      <c r="B139" s="208">
        <v>4.2999999999999997E-2</v>
      </c>
      <c r="C139" s="209" t="s">
        <v>72</v>
      </c>
      <c r="D139" s="383" t="s">
        <v>308</v>
      </c>
      <c r="E139" s="225" t="s">
        <v>15</v>
      </c>
      <c r="F139" s="225" t="s">
        <v>8</v>
      </c>
      <c r="G139" s="226">
        <f t="shared" si="2"/>
        <v>164400</v>
      </c>
      <c r="H139" s="226" t="s">
        <v>13</v>
      </c>
      <c r="I139" s="226" t="s">
        <v>8</v>
      </c>
      <c r="J139" s="226">
        <f>SUM(G139*B139)</f>
        <v>7069.2</v>
      </c>
      <c r="K139" s="226"/>
      <c r="L139" s="226"/>
      <c r="M139" s="226"/>
      <c r="N139" s="226"/>
      <c r="O139" s="226"/>
      <c r="P139" s="226"/>
      <c r="Q139" s="227"/>
      <c r="R139" s="226"/>
    </row>
    <row r="140" spans="2:18" s="225" customFormat="1" ht="15.6" customHeight="1" x14ac:dyDescent="0.25">
      <c r="B140" s="208">
        <v>4.3E-3</v>
      </c>
      <c r="C140" s="209" t="s">
        <v>72</v>
      </c>
      <c r="D140" s="91" t="s">
        <v>309</v>
      </c>
      <c r="E140" s="225" t="s">
        <v>15</v>
      </c>
      <c r="F140" s="225" t="s">
        <v>8</v>
      </c>
      <c r="G140" s="226">
        <f t="shared" si="2"/>
        <v>178100</v>
      </c>
      <c r="H140" s="226" t="s">
        <v>13</v>
      </c>
      <c r="I140" s="226" t="s">
        <v>8</v>
      </c>
      <c r="J140" s="226">
        <f>SUM(G140*B140)</f>
        <v>765.83</v>
      </c>
      <c r="K140" s="226"/>
      <c r="L140" s="226"/>
      <c r="M140" s="226"/>
      <c r="N140" s="226"/>
      <c r="O140" s="226"/>
      <c r="P140" s="226"/>
      <c r="Q140" s="227"/>
      <c r="R140" s="226"/>
    </row>
    <row r="141" spans="2:18" s="225" customFormat="1" ht="15.6" customHeight="1" x14ac:dyDescent="0.25">
      <c r="B141" s="208">
        <v>4.2999999999999997E-2</v>
      </c>
      <c r="C141" s="209" t="s">
        <v>72</v>
      </c>
      <c r="D141" s="10" t="s">
        <v>230</v>
      </c>
      <c r="E141" s="225" t="s">
        <v>15</v>
      </c>
      <c r="F141" s="225" t="s">
        <v>8</v>
      </c>
      <c r="G141" s="226">
        <f t="shared" si="2"/>
        <v>109600</v>
      </c>
      <c r="H141" s="226" t="s">
        <v>13</v>
      </c>
      <c r="I141" s="226" t="s">
        <v>8</v>
      </c>
      <c r="J141" s="226">
        <f>SUM(G141*B141)</f>
        <v>4712.7999999999993</v>
      </c>
      <c r="K141" s="226"/>
      <c r="L141" s="226"/>
      <c r="M141" s="226"/>
      <c r="N141" s="226"/>
      <c r="O141" s="226"/>
      <c r="P141" s="226"/>
      <c r="Q141" s="227"/>
      <c r="R141" s="226"/>
    </row>
    <row r="142" spans="2:18" s="225" customFormat="1" ht="15.6" customHeight="1" x14ac:dyDescent="0.25">
      <c r="B142" s="208">
        <v>2.0999999999999999E-3</v>
      </c>
      <c r="C142" s="209" t="s">
        <v>72</v>
      </c>
      <c r="D142" s="381" t="s">
        <v>261</v>
      </c>
      <c r="E142" s="225" t="s">
        <v>15</v>
      </c>
      <c r="F142" s="225" t="s">
        <v>8</v>
      </c>
      <c r="G142" s="226">
        <f t="shared" si="2"/>
        <v>178100</v>
      </c>
      <c r="H142" s="226" t="s">
        <v>13</v>
      </c>
      <c r="I142" s="226" t="s">
        <v>8</v>
      </c>
      <c r="J142" s="226">
        <f>SUM(G142*B142)</f>
        <v>374.01</v>
      </c>
      <c r="K142" s="226"/>
      <c r="L142" s="226"/>
      <c r="M142" s="226"/>
      <c r="N142" s="226"/>
      <c r="O142" s="226"/>
      <c r="P142" s="226"/>
      <c r="Q142" s="227"/>
      <c r="R142" s="226"/>
    </row>
    <row r="143" spans="2:18" s="225" customFormat="1" ht="15.6" customHeight="1" x14ac:dyDescent="0.25">
      <c r="B143" s="91"/>
      <c r="C143" s="91"/>
      <c r="D143" s="91"/>
      <c r="F143" s="226"/>
      <c r="G143" s="13" t="s">
        <v>228</v>
      </c>
      <c r="H143" s="226" t="s">
        <v>13</v>
      </c>
      <c r="I143" s="226" t="s">
        <v>8</v>
      </c>
      <c r="J143" s="226">
        <f>SUM(J139:J142)</f>
        <v>12921.839999999998</v>
      </c>
      <c r="K143" s="226" t="s">
        <v>9</v>
      </c>
      <c r="L143" s="226" t="s">
        <v>8</v>
      </c>
      <c r="M143" s="226">
        <f>SUM(M136:M142)</f>
        <v>176798.5</v>
      </c>
      <c r="N143" s="226" t="s">
        <v>13</v>
      </c>
      <c r="O143" s="226" t="s">
        <v>8</v>
      </c>
      <c r="P143" s="226">
        <f>SUM(M143+J143)</f>
        <v>189720.34</v>
      </c>
      <c r="Q143" s="227"/>
      <c r="R143" s="226"/>
    </row>
    <row r="144" spans="2:18" s="225" customFormat="1" ht="15.6" customHeight="1" x14ac:dyDescent="0.25">
      <c r="B144" s="91"/>
      <c r="C144" s="91"/>
      <c r="D144" s="91"/>
      <c r="G144" s="13" t="s">
        <v>228</v>
      </c>
      <c r="H144" s="226"/>
      <c r="I144" s="226"/>
      <c r="J144" s="226"/>
      <c r="K144" s="226"/>
      <c r="L144" s="226"/>
      <c r="M144" s="226"/>
      <c r="N144" s="226" t="s">
        <v>13</v>
      </c>
      <c r="O144" s="226" t="s">
        <v>8</v>
      </c>
      <c r="P144" s="226">
        <f>SUM(P143:P143)</f>
        <v>189720.34</v>
      </c>
      <c r="Q144" s="227"/>
      <c r="R144" s="226"/>
    </row>
    <row r="145" spans="2:18" s="225" customFormat="1" ht="15.6" customHeight="1" x14ac:dyDescent="0.25">
      <c r="B145" s="91"/>
      <c r="C145" s="91"/>
      <c r="D145" s="91"/>
      <c r="G145" s="13" t="s">
        <v>205</v>
      </c>
      <c r="H145" s="226"/>
      <c r="I145" s="226"/>
      <c r="J145" s="226"/>
      <c r="K145" s="226"/>
      <c r="L145" s="226"/>
      <c r="M145" s="226"/>
      <c r="N145" s="226" t="s">
        <v>13</v>
      </c>
      <c r="O145" s="226" t="s">
        <v>8</v>
      </c>
      <c r="P145" s="226">
        <f>INT(P144/1)*1</f>
        <v>189720</v>
      </c>
      <c r="Q145" s="227"/>
      <c r="R145" s="226"/>
    </row>
    <row r="146" spans="2:18" s="225" customFormat="1" ht="15.6" customHeight="1" x14ac:dyDescent="0.25">
      <c r="B146" s="91"/>
      <c r="C146" s="91"/>
      <c r="D146" s="91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7"/>
      <c r="R146" s="226"/>
    </row>
    <row r="147" spans="2:18" s="225" customFormat="1" ht="15.6" customHeight="1" x14ac:dyDescent="0.25">
      <c r="B147" s="91" t="s">
        <v>382</v>
      </c>
      <c r="C147" s="91"/>
      <c r="D147" s="91"/>
      <c r="G147" s="226"/>
      <c r="H147" s="226"/>
      <c r="I147" s="226"/>
      <c r="J147" s="226"/>
      <c r="K147" s="226"/>
      <c r="L147" s="226"/>
      <c r="M147" s="226"/>
      <c r="N147" s="226"/>
      <c r="O147" s="226"/>
      <c r="P147" s="226"/>
      <c r="Q147" s="227"/>
      <c r="R147" s="226"/>
    </row>
    <row r="148" spans="2:18" s="225" customFormat="1" ht="15.6" customHeight="1" x14ac:dyDescent="0.25">
      <c r="B148" s="208">
        <v>4.4000000000000004</v>
      </c>
      <c r="C148" s="209" t="s">
        <v>73</v>
      </c>
      <c r="D148" s="91" t="s">
        <v>514</v>
      </c>
      <c r="E148" s="225" t="s">
        <v>15</v>
      </c>
      <c r="F148" s="225" t="s">
        <v>8</v>
      </c>
      <c r="G148" s="226">
        <f t="shared" ref="G148:G154" si="3">G136</f>
        <v>150700</v>
      </c>
      <c r="K148" s="226" t="s">
        <v>9</v>
      </c>
      <c r="L148" s="226" t="s">
        <v>8</v>
      </c>
      <c r="M148" s="226">
        <f>SUM(G148*B148)</f>
        <v>663080</v>
      </c>
      <c r="N148" s="226"/>
      <c r="O148" s="226"/>
      <c r="P148" s="226"/>
      <c r="Q148" s="227"/>
      <c r="R148" s="226"/>
    </row>
    <row r="149" spans="2:18" s="225" customFormat="1" ht="15.6" customHeight="1" x14ac:dyDescent="0.25">
      <c r="B149" s="208">
        <v>4.5</v>
      </c>
      <c r="C149" s="209" t="s">
        <v>73</v>
      </c>
      <c r="D149" s="91" t="s">
        <v>513</v>
      </c>
      <c r="E149" s="225" t="s">
        <v>15</v>
      </c>
      <c r="F149" s="225" t="s">
        <v>8</v>
      </c>
      <c r="G149" s="226">
        <f t="shared" si="3"/>
        <v>1918</v>
      </c>
      <c r="K149" s="226" t="s">
        <v>9</v>
      </c>
      <c r="L149" s="226" t="s">
        <v>8</v>
      </c>
      <c r="M149" s="226">
        <f>SUM(G149*B149)</f>
        <v>8631</v>
      </c>
      <c r="N149" s="226"/>
      <c r="O149" s="226"/>
      <c r="P149" s="226"/>
      <c r="Q149" s="227"/>
      <c r="R149" s="226"/>
    </row>
    <row r="150" spans="2:18" s="225" customFormat="1" ht="15.6" customHeight="1" x14ac:dyDescent="0.25">
      <c r="B150" s="208">
        <v>0.27</v>
      </c>
      <c r="C150" s="209" t="s">
        <v>124</v>
      </c>
      <c r="D150" s="91" t="s">
        <v>123</v>
      </c>
      <c r="E150" s="225" t="s">
        <v>15</v>
      </c>
      <c r="F150" s="225" t="s">
        <v>8</v>
      </c>
      <c r="G150" s="226">
        <f t="shared" si="3"/>
        <v>119875</v>
      </c>
      <c r="K150" s="226" t="s">
        <v>9</v>
      </c>
      <c r="L150" s="226" t="s">
        <v>8</v>
      </c>
      <c r="M150" s="226">
        <f>SUM(G150*B150)</f>
        <v>32366.250000000004</v>
      </c>
      <c r="N150" s="226"/>
      <c r="O150" s="226"/>
      <c r="P150" s="226"/>
      <c r="Q150" s="227"/>
      <c r="R150" s="226"/>
    </row>
    <row r="151" spans="2:18" s="225" customFormat="1" ht="15.6" customHeight="1" x14ac:dyDescent="0.25">
      <c r="B151" s="208">
        <v>8.5000000000000006E-2</v>
      </c>
      <c r="C151" s="209" t="s">
        <v>72</v>
      </c>
      <c r="D151" s="383" t="s">
        <v>308</v>
      </c>
      <c r="E151" s="225" t="s">
        <v>15</v>
      </c>
      <c r="F151" s="225" t="s">
        <v>8</v>
      </c>
      <c r="G151" s="226">
        <f t="shared" si="3"/>
        <v>164400</v>
      </c>
      <c r="H151" s="226" t="s">
        <v>13</v>
      </c>
      <c r="I151" s="226" t="s">
        <v>8</v>
      </c>
      <c r="J151" s="226">
        <f>SUM(G151*B151)</f>
        <v>13974.000000000002</v>
      </c>
      <c r="K151" s="226"/>
      <c r="L151" s="226"/>
      <c r="M151" s="226"/>
      <c r="N151" s="226"/>
      <c r="O151" s="226"/>
      <c r="P151" s="226"/>
      <c r="Q151" s="227"/>
      <c r="R151" s="226"/>
    </row>
    <row r="152" spans="2:18" s="225" customFormat="1" ht="15.6" customHeight="1" x14ac:dyDescent="0.25">
      <c r="B152" s="208">
        <v>8.9999999999999993E-3</v>
      </c>
      <c r="C152" s="209" t="s">
        <v>72</v>
      </c>
      <c r="D152" s="91" t="s">
        <v>309</v>
      </c>
      <c r="E152" s="225" t="s">
        <v>15</v>
      </c>
      <c r="F152" s="225" t="s">
        <v>8</v>
      </c>
      <c r="G152" s="226">
        <f t="shared" si="3"/>
        <v>178100</v>
      </c>
      <c r="H152" s="226" t="s">
        <v>13</v>
      </c>
      <c r="I152" s="226" t="s">
        <v>8</v>
      </c>
      <c r="J152" s="226">
        <f>SUM(G152*B152)</f>
        <v>1602.8999999999999</v>
      </c>
      <c r="K152" s="226"/>
      <c r="L152" s="226"/>
      <c r="M152" s="226"/>
      <c r="N152" s="226"/>
      <c r="O152" s="226"/>
      <c r="P152" s="226"/>
      <c r="Q152" s="227"/>
      <c r="R152" s="226"/>
    </row>
    <row r="153" spans="2:18" s="225" customFormat="1" ht="15.6" customHeight="1" x14ac:dyDescent="0.25">
      <c r="B153" s="208">
        <v>8.5000000000000006E-2</v>
      </c>
      <c r="C153" s="209" t="s">
        <v>72</v>
      </c>
      <c r="D153" s="10" t="s">
        <v>230</v>
      </c>
      <c r="E153" s="225" t="s">
        <v>15</v>
      </c>
      <c r="F153" s="225" t="s">
        <v>8</v>
      </c>
      <c r="G153" s="226">
        <f t="shared" si="3"/>
        <v>109600</v>
      </c>
      <c r="H153" s="226" t="s">
        <v>13</v>
      </c>
      <c r="I153" s="226" t="s">
        <v>8</v>
      </c>
      <c r="J153" s="226">
        <f>SUM(G153*B153)</f>
        <v>9316</v>
      </c>
      <c r="K153" s="226"/>
      <c r="L153" s="226"/>
      <c r="M153" s="226"/>
      <c r="N153" s="226"/>
      <c r="O153" s="226"/>
      <c r="P153" s="226"/>
      <c r="Q153" s="227"/>
      <c r="R153" s="226"/>
    </row>
    <row r="154" spans="2:18" s="225" customFormat="1" ht="15.6" customHeight="1" x14ac:dyDescent="0.25">
      <c r="B154" s="208">
        <v>5.0000000000000001E-3</v>
      </c>
      <c r="C154" s="209" t="s">
        <v>72</v>
      </c>
      <c r="D154" s="381" t="s">
        <v>261</v>
      </c>
      <c r="E154" s="225" t="s">
        <v>15</v>
      </c>
      <c r="F154" s="225" t="s">
        <v>8</v>
      </c>
      <c r="G154" s="226">
        <f t="shared" si="3"/>
        <v>178100</v>
      </c>
      <c r="H154" s="226" t="s">
        <v>13</v>
      </c>
      <c r="I154" s="226" t="s">
        <v>8</v>
      </c>
      <c r="J154" s="226">
        <f>SUM(G154*B154)</f>
        <v>890.5</v>
      </c>
      <c r="K154" s="226"/>
      <c r="L154" s="226"/>
      <c r="M154" s="226"/>
      <c r="N154" s="226"/>
      <c r="O154" s="226"/>
      <c r="P154" s="226"/>
      <c r="Q154" s="227"/>
      <c r="R154" s="226"/>
    </row>
    <row r="155" spans="2:18" s="225" customFormat="1" ht="15.6" customHeight="1" x14ac:dyDescent="0.25">
      <c r="B155" s="91"/>
      <c r="C155" s="91"/>
      <c r="D155" s="91"/>
      <c r="F155" s="226"/>
      <c r="G155" s="13" t="s">
        <v>228</v>
      </c>
      <c r="H155" s="226" t="s">
        <v>13</v>
      </c>
      <c r="I155" s="226" t="s">
        <v>8</v>
      </c>
      <c r="J155" s="226">
        <f>SUM(J151:J154)</f>
        <v>25783.4</v>
      </c>
      <c r="K155" s="226" t="s">
        <v>9</v>
      </c>
      <c r="L155" s="226" t="s">
        <v>8</v>
      </c>
      <c r="M155" s="226">
        <f>SUM(M148:M154)</f>
        <v>704077.25</v>
      </c>
      <c r="N155" s="226" t="s">
        <v>13</v>
      </c>
      <c r="O155" s="226" t="s">
        <v>8</v>
      </c>
      <c r="P155" s="226">
        <f>SUM(M155+J155)</f>
        <v>729860.65</v>
      </c>
      <c r="Q155" s="227"/>
      <c r="R155" s="226"/>
    </row>
    <row r="156" spans="2:18" s="225" customFormat="1" ht="15.6" customHeight="1" x14ac:dyDescent="0.25">
      <c r="B156" s="91"/>
      <c r="C156" s="91"/>
      <c r="D156" s="91"/>
      <c r="G156" s="13" t="s">
        <v>228</v>
      </c>
      <c r="H156" s="226"/>
      <c r="I156" s="226"/>
      <c r="J156" s="226"/>
      <c r="K156" s="226"/>
      <c r="L156" s="226"/>
      <c r="M156" s="226"/>
      <c r="N156" s="226" t="s">
        <v>13</v>
      </c>
      <c r="O156" s="226" t="s">
        <v>8</v>
      </c>
      <c r="P156" s="226">
        <f>SUM(P155:P155)</f>
        <v>729860.65</v>
      </c>
      <c r="Q156" s="227"/>
      <c r="R156" s="226"/>
    </row>
    <row r="157" spans="2:18" s="225" customFormat="1" ht="15.6" customHeight="1" x14ac:dyDescent="0.25">
      <c r="B157" s="91"/>
      <c r="C157" s="91"/>
      <c r="D157" s="91"/>
      <c r="G157" s="13" t="s">
        <v>205</v>
      </c>
      <c r="H157" s="226"/>
      <c r="I157" s="226"/>
      <c r="J157" s="226"/>
      <c r="K157" s="226"/>
      <c r="L157" s="226"/>
      <c r="M157" s="226"/>
      <c r="N157" s="226" t="s">
        <v>13</v>
      </c>
      <c r="O157" s="226" t="s">
        <v>8</v>
      </c>
      <c r="P157" s="226">
        <f>INT(P156/1)*1</f>
        <v>729860</v>
      </c>
      <c r="Q157" s="227"/>
      <c r="R157" s="226"/>
    </row>
    <row r="158" spans="2:18" s="29" customFormat="1" ht="15.6" customHeight="1" x14ac:dyDescent="0.25">
      <c r="B158" s="101"/>
      <c r="C158" s="100"/>
      <c r="D158" s="100"/>
      <c r="E158" s="103"/>
      <c r="F158" s="102"/>
      <c r="G158" s="104"/>
      <c r="H158" s="109"/>
      <c r="I158" s="109"/>
      <c r="J158" s="109"/>
      <c r="K158" s="109"/>
      <c r="L158" s="109"/>
      <c r="M158" s="109"/>
      <c r="N158" s="109"/>
      <c r="O158" s="109"/>
      <c r="P158" s="110"/>
      <c r="Q158" s="30"/>
      <c r="R158" s="28"/>
    </row>
    <row r="159" spans="2:18" s="29" customFormat="1" ht="15.6" customHeight="1" x14ac:dyDescent="0.25">
      <c r="B159" s="389" t="s">
        <v>385</v>
      </c>
      <c r="C159" s="100"/>
      <c r="D159" s="100"/>
      <c r="E159" s="103"/>
      <c r="F159" s="102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30"/>
      <c r="R159" s="28"/>
    </row>
    <row r="160" spans="2:18" s="29" customFormat="1" ht="15.6" customHeight="1" x14ac:dyDescent="0.25">
      <c r="B160" s="101">
        <v>1.1000000000000001</v>
      </c>
      <c r="C160" s="100" t="s">
        <v>68</v>
      </c>
      <c r="D160" s="100" t="s">
        <v>310</v>
      </c>
      <c r="E160" s="103" t="s">
        <v>15</v>
      </c>
      <c r="F160" s="102" t="s">
        <v>8</v>
      </c>
      <c r="G160" s="104">
        <f>'Unit Price '!E61</f>
        <v>89050</v>
      </c>
      <c r="H160" s="106"/>
      <c r="I160" s="106"/>
      <c r="J160" s="106"/>
      <c r="K160" s="104" t="s">
        <v>9</v>
      </c>
      <c r="L160" s="104" t="s">
        <v>8</v>
      </c>
      <c r="M160" s="104">
        <f>SUM(G160*B160)</f>
        <v>97955.000000000015</v>
      </c>
      <c r="N160" s="104"/>
      <c r="O160" s="104"/>
      <c r="P160" s="104"/>
      <c r="Q160" s="30"/>
      <c r="R160" s="28"/>
    </row>
    <row r="161" spans="2:18" s="29" customFormat="1" ht="15.6" customHeight="1" x14ac:dyDescent="0.25">
      <c r="B161" s="101">
        <v>2.2000000000000002</v>
      </c>
      <c r="C161" s="100" t="s">
        <v>108</v>
      </c>
      <c r="D161" s="100" t="str">
        <f>'Unit Price '!C51</f>
        <v>List of plain wood glass</v>
      </c>
      <c r="E161" s="103" t="s">
        <v>15</v>
      </c>
      <c r="F161" s="102" t="s">
        <v>8</v>
      </c>
      <c r="G161" s="104">
        <f>'Unit Price '!E51</f>
        <v>10275</v>
      </c>
      <c r="H161" s="106"/>
      <c r="I161" s="106"/>
      <c r="J161" s="106"/>
      <c r="K161" s="104" t="s">
        <v>9</v>
      </c>
      <c r="L161" s="104" t="s">
        <v>8</v>
      </c>
      <c r="M161" s="104">
        <f>SUM(G161*B161)</f>
        <v>22605.000000000004</v>
      </c>
      <c r="N161" s="104"/>
      <c r="O161" s="104"/>
      <c r="P161" s="104"/>
      <c r="Q161" s="30"/>
      <c r="R161" s="28"/>
    </row>
    <row r="162" spans="2:18" s="29" customFormat="1" ht="15.6" customHeight="1" x14ac:dyDescent="0.25">
      <c r="B162" s="101">
        <v>0.15</v>
      </c>
      <c r="C162" s="100" t="s">
        <v>44</v>
      </c>
      <c r="D162" s="382" t="s">
        <v>286</v>
      </c>
      <c r="E162" s="103" t="s">
        <v>15</v>
      </c>
      <c r="F162" s="102" t="s">
        <v>8</v>
      </c>
      <c r="G162" s="104">
        <f>'Unit Price '!E111</f>
        <v>164400</v>
      </c>
      <c r="H162" s="104" t="s">
        <v>13</v>
      </c>
      <c r="I162" s="104" t="s">
        <v>8</v>
      </c>
      <c r="J162" s="104">
        <f>SUM(G162*B162)</f>
        <v>24660</v>
      </c>
      <c r="K162" s="104"/>
      <c r="L162" s="104"/>
      <c r="M162" s="104"/>
      <c r="N162" s="104"/>
      <c r="O162" s="104"/>
      <c r="P162" s="104"/>
      <c r="Q162" s="30"/>
      <c r="R162" s="28"/>
    </row>
    <row r="163" spans="2:18" s="29" customFormat="1" ht="15.6" customHeight="1" x14ac:dyDescent="0.25">
      <c r="B163" s="101">
        <v>1.4999999999999999E-2</v>
      </c>
      <c r="C163" s="100" t="s">
        <v>44</v>
      </c>
      <c r="D163" s="18" t="s">
        <v>287</v>
      </c>
      <c r="E163" s="103" t="s">
        <v>15</v>
      </c>
      <c r="F163" s="102" t="s">
        <v>8</v>
      </c>
      <c r="G163" s="104">
        <f>'Unit Price '!E110</f>
        <v>178100</v>
      </c>
      <c r="H163" s="104" t="s">
        <v>13</v>
      </c>
      <c r="I163" s="104" t="s">
        <v>8</v>
      </c>
      <c r="J163" s="104">
        <f>SUM(G163*B163)</f>
        <v>2671.5</v>
      </c>
      <c r="K163" s="104"/>
      <c r="L163" s="104"/>
      <c r="M163" s="104"/>
      <c r="N163" s="104"/>
      <c r="O163" s="104"/>
      <c r="P163" s="104"/>
      <c r="Q163" s="30"/>
      <c r="R163" s="28"/>
    </row>
    <row r="164" spans="2:18" s="29" customFormat="1" ht="15.6" customHeight="1" x14ac:dyDescent="0.25">
      <c r="B164" s="101">
        <v>1.4999999999999999E-2</v>
      </c>
      <c r="C164" s="100" t="s">
        <v>44</v>
      </c>
      <c r="D164" s="10" t="s">
        <v>230</v>
      </c>
      <c r="E164" s="103" t="s">
        <v>15</v>
      </c>
      <c r="F164" s="102" t="s">
        <v>8</v>
      </c>
      <c r="G164" s="104">
        <f>'Unit Price '!E120</f>
        <v>109600</v>
      </c>
      <c r="H164" s="104" t="s">
        <v>13</v>
      </c>
      <c r="I164" s="104" t="s">
        <v>8</v>
      </c>
      <c r="J164" s="104">
        <f>SUM(G164*B164)</f>
        <v>1644</v>
      </c>
      <c r="K164" s="104"/>
      <c r="L164" s="104"/>
      <c r="M164" s="104"/>
      <c r="N164" s="104"/>
      <c r="O164" s="104"/>
      <c r="P164" s="104"/>
      <c r="Q164" s="30"/>
      <c r="R164" s="28"/>
    </row>
    <row r="165" spans="2:18" s="29" customFormat="1" ht="15.6" customHeight="1" x14ac:dyDescent="0.25">
      <c r="B165" s="101">
        <v>6.9999999999999999E-4</v>
      </c>
      <c r="C165" s="100" t="s">
        <v>44</v>
      </c>
      <c r="D165" s="381" t="s">
        <v>261</v>
      </c>
      <c r="E165" s="103" t="s">
        <v>15</v>
      </c>
      <c r="F165" s="102" t="s">
        <v>8</v>
      </c>
      <c r="G165" s="104">
        <f>'Unit Price '!E109</f>
        <v>178100</v>
      </c>
      <c r="H165" s="107" t="s">
        <v>13</v>
      </c>
      <c r="I165" s="107" t="s">
        <v>8</v>
      </c>
      <c r="J165" s="107">
        <f>SUM(G165*B165)</f>
        <v>124.67</v>
      </c>
      <c r="K165" s="107"/>
      <c r="L165" s="107"/>
      <c r="M165" s="107"/>
      <c r="N165" s="107"/>
      <c r="O165" s="107"/>
      <c r="P165" s="107"/>
      <c r="Q165" s="30"/>
      <c r="R165" s="28"/>
    </row>
    <row r="166" spans="2:18" s="29" customFormat="1" ht="15.6" customHeight="1" x14ac:dyDescent="0.25">
      <c r="B166" s="101"/>
      <c r="C166" s="100"/>
      <c r="D166" s="100"/>
      <c r="E166" s="103"/>
      <c r="F166" s="105"/>
      <c r="G166" s="13" t="s">
        <v>228</v>
      </c>
      <c r="H166" s="108" t="s">
        <v>13</v>
      </c>
      <c r="I166" s="108" t="s">
        <v>8</v>
      </c>
      <c r="J166" s="108">
        <f>SUM(J160:J165)</f>
        <v>29100.17</v>
      </c>
      <c r="K166" s="108" t="s">
        <v>9</v>
      </c>
      <c r="L166" s="108" t="s">
        <v>8</v>
      </c>
      <c r="M166" s="108">
        <f>SUM(M160:M165)</f>
        <v>120560.00000000001</v>
      </c>
      <c r="N166" s="108" t="s">
        <v>13</v>
      </c>
      <c r="O166" s="108" t="s">
        <v>8</v>
      </c>
      <c r="P166" s="108">
        <f>SUM(M166+J166)</f>
        <v>149660.17000000001</v>
      </c>
      <c r="Q166" s="30"/>
      <c r="R166" s="28"/>
    </row>
    <row r="167" spans="2:18" s="29" customFormat="1" ht="15.6" customHeight="1" x14ac:dyDescent="0.25">
      <c r="B167" s="101"/>
      <c r="C167" s="100"/>
      <c r="D167" s="100"/>
      <c r="E167" s="103"/>
      <c r="F167" s="102"/>
      <c r="G167" s="13" t="s">
        <v>228</v>
      </c>
      <c r="H167" s="109"/>
      <c r="I167" s="109"/>
      <c r="J167" s="109"/>
      <c r="K167" s="109"/>
      <c r="L167" s="109"/>
      <c r="M167" s="109"/>
      <c r="N167" s="109" t="s">
        <v>13</v>
      </c>
      <c r="O167" s="109" t="s">
        <v>8</v>
      </c>
      <c r="P167" s="110">
        <f>SUM(P166:P166)</f>
        <v>149660.17000000001</v>
      </c>
      <c r="Q167" s="30"/>
      <c r="R167" s="28"/>
    </row>
    <row r="168" spans="2:18" s="29" customFormat="1" ht="15.6" customHeight="1" x14ac:dyDescent="0.25">
      <c r="B168" s="101"/>
      <c r="C168" s="100"/>
      <c r="D168" s="100"/>
      <c r="E168" s="103"/>
      <c r="F168" s="102"/>
      <c r="G168" s="13" t="s">
        <v>205</v>
      </c>
      <c r="H168" s="109"/>
      <c r="I168" s="109"/>
      <c r="J168" s="109"/>
      <c r="K168" s="109"/>
      <c r="L168" s="109"/>
      <c r="M168" s="109"/>
      <c r="N168" s="109" t="s">
        <v>13</v>
      </c>
      <c r="O168" s="109" t="s">
        <v>8</v>
      </c>
      <c r="P168" s="110">
        <f>INT(P167/1)*1</f>
        <v>149660</v>
      </c>
      <c r="Q168" s="30"/>
      <c r="R168" s="28"/>
    </row>
    <row r="169" spans="2:18" s="29" customFormat="1" ht="15.6" customHeight="1" x14ac:dyDescent="0.25">
      <c r="B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30"/>
      <c r="R169" s="28"/>
    </row>
    <row r="170" spans="2:18" s="29" customFormat="1" ht="15.6" customHeight="1" x14ac:dyDescent="0.25">
      <c r="B170" s="391" t="s">
        <v>386</v>
      </c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30"/>
      <c r="R170" s="28"/>
    </row>
    <row r="171" spans="2:18" s="29" customFormat="1" ht="15.6" customHeight="1" x14ac:dyDescent="0.25">
      <c r="B171" s="37">
        <v>1</v>
      </c>
      <c r="C171" s="35" t="s">
        <v>71</v>
      </c>
      <c r="D171" s="29" t="s">
        <v>311</v>
      </c>
      <c r="E171" s="29" t="s">
        <v>15</v>
      </c>
      <c r="F171" s="29" t="s">
        <v>8</v>
      </c>
      <c r="G171" s="28">
        <f>'Unit Price '!E62</f>
        <v>205500</v>
      </c>
      <c r="K171" s="28" t="s">
        <v>9</v>
      </c>
      <c r="L171" s="28" t="s">
        <v>8</v>
      </c>
      <c r="M171" s="28">
        <f>SUM(G171*B171)</f>
        <v>205500</v>
      </c>
      <c r="N171" s="28"/>
      <c r="O171" s="28"/>
      <c r="P171" s="28"/>
      <c r="Q171" s="30"/>
      <c r="R171" s="28"/>
    </row>
    <row r="172" spans="2:18" s="29" customFormat="1" ht="15.6" customHeight="1" x14ac:dyDescent="0.25">
      <c r="B172" s="37">
        <v>0.2</v>
      </c>
      <c r="C172" s="35" t="s">
        <v>72</v>
      </c>
      <c r="D172" s="382" t="s">
        <v>286</v>
      </c>
      <c r="E172" s="29" t="s">
        <v>15</v>
      </c>
      <c r="F172" s="29" t="s">
        <v>8</v>
      </c>
      <c r="G172" s="28">
        <f>'Unit Price '!E111</f>
        <v>164400</v>
      </c>
      <c r="K172" s="28" t="s">
        <v>9</v>
      </c>
      <c r="L172" s="28" t="s">
        <v>8</v>
      </c>
      <c r="M172" s="28">
        <f>0.35*G172</f>
        <v>57539.999999999993</v>
      </c>
      <c r="N172" s="28"/>
      <c r="O172" s="28"/>
      <c r="P172" s="28"/>
      <c r="Q172" s="30"/>
      <c r="R172" s="28"/>
    </row>
    <row r="173" spans="2:18" s="29" customFormat="1" ht="15.6" customHeight="1" x14ac:dyDescent="0.25">
      <c r="B173" s="37">
        <v>0.02</v>
      </c>
      <c r="C173" s="35" t="s">
        <v>72</v>
      </c>
      <c r="D173" s="18" t="s">
        <v>287</v>
      </c>
      <c r="E173" s="29" t="s">
        <v>15</v>
      </c>
      <c r="F173" s="29" t="s">
        <v>8</v>
      </c>
      <c r="G173" s="28">
        <f>'Unit Price '!E110</f>
        <v>178100</v>
      </c>
      <c r="H173" s="28" t="s">
        <v>13</v>
      </c>
      <c r="I173" s="28" t="s">
        <v>8</v>
      </c>
      <c r="J173" s="28">
        <f>SUM(G173*B173)</f>
        <v>3562</v>
      </c>
      <c r="K173" s="28"/>
      <c r="L173" s="28"/>
      <c r="M173" s="28"/>
      <c r="N173" s="28"/>
      <c r="O173" s="28"/>
      <c r="P173" s="28"/>
      <c r="Q173" s="30"/>
      <c r="R173" s="28"/>
    </row>
    <row r="174" spans="2:18" s="29" customFormat="1" ht="15.6" customHeight="1" x14ac:dyDescent="0.25">
      <c r="B174" s="37">
        <v>0.02</v>
      </c>
      <c r="C174" s="35" t="s">
        <v>72</v>
      </c>
      <c r="D174" s="10" t="s">
        <v>230</v>
      </c>
      <c r="E174" s="29" t="s">
        <v>15</v>
      </c>
      <c r="F174" s="29" t="s">
        <v>8</v>
      </c>
      <c r="G174" s="28">
        <f>'Unit Price '!E120</f>
        <v>109600</v>
      </c>
      <c r="H174" s="28" t="s">
        <v>13</v>
      </c>
      <c r="I174" s="28" t="s">
        <v>8</v>
      </c>
      <c r="J174" s="28">
        <f>SUM(G174*B174)</f>
        <v>2192</v>
      </c>
      <c r="K174" s="28"/>
      <c r="L174" s="28"/>
      <c r="M174" s="28"/>
      <c r="N174" s="28"/>
      <c r="O174" s="28"/>
      <c r="P174" s="28"/>
      <c r="Q174" s="30"/>
      <c r="R174" s="28"/>
    </row>
    <row r="175" spans="2:18" s="29" customFormat="1" ht="15.6" customHeight="1" x14ac:dyDescent="0.25">
      <c r="B175" s="37">
        <v>1E-3</v>
      </c>
      <c r="C175" s="35" t="s">
        <v>72</v>
      </c>
      <c r="D175" s="381" t="s">
        <v>261</v>
      </c>
      <c r="E175" s="29" t="s">
        <v>15</v>
      </c>
      <c r="F175" s="29" t="s">
        <v>8</v>
      </c>
      <c r="G175" s="28">
        <f>'Unit Price '!E109</f>
        <v>178100</v>
      </c>
      <c r="H175" s="28" t="s">
        <v>13</v>
      </c>
      <c r="I175" s="28" t="s">
        <v>8</v>
      </c>
      <c r="J175" s="28">
        <f>SUM(G175*B175)</f>
        <v>178.1</v>
      </c>
      <c r="K175" s="28"/>
      <c r="L175" s="28"/>
      <c r="M175" s="28"/>
      <c r="N175" s="28"/>
      <c r="O175" s="28"/>
      <c r="P175" s="28"/>
      <c r="Q175" s="30"/>
      <c r="R175" s="28"/>
    </row>
    <row r="176" spans="2:18" s="29" customFormat="1" ht="15.6" customHeight="1" x14ac:dyDescent="0.25">
      <c r="B176" s="28"/>
      <c r="F176" s="28"/>
      <c r="G176" s="13" t="s">
        <v>228</v>
      </c>
      <c r="H176" s="28" t="s">
        <v>13</v>
      </c>
      <c r="I176" s="28" t="s">
        <v>8</v>
      </c>
      <c r="J176" s="28">
        <f>SUM(J171:J175)</f>
        <v>5932.1</v>
      </c>
      <c r="K176" s="28" t="s">
        <v>9</v>
      </c>
      <c r="L176" s="28" t="s">
        <v>8</v>
      </c>
      <c r="M176" s="28">
        <f>SUM(M171:M175)</f>
        <v>263040</v>
      </c>
      <c r="N176" s="28" t="s">
        <v>13</v>
      </c>
      <c r="O176" s="28" t="s">
        <v>8</v>
      </c>
      <c r="P176" s="28">
        <f>SUM(M176+J176)</f>
        <v>268972.09999999998</v>
      </c>
      <c r="Q176" s="30"/>
      <c r="R176" s="28"/>
    </row>
    <row r="177" spans="2:18" s="29" customFormat="1" ht="15.6" customHeight="1" x14ac:dyDescent="0.25">
      <c r="B177" s="28"/>
      <c r="G177" s="13" t="s">
        <v>228</v>
      </c>
      <c r="H177" s="28"/>
      <c r="I177" s="28"/>
      <c r="J177" s="28"/>
      <c r="K177" s="28"/>
      <c r="L177" s="28"/>
      <c r="M177" s="28"/>
      <c r="N177" s="28" t="s">
        <v>13</v>
      </c>
      <c r="O177" s="28" t="s">
        <v>8</v>
      </c>
      <c r="P177" s="28">
        <f>SUM(P176:P176)</f>
        <v>268972.09999999998</v>
      </c>
      <c r="Q177" s="30"/>
      <c r="R177" s="28"/>
    </row>
    <row r="178" spans="2:18" s="29" customFormat="1" ht="15.6" customHeight="1" x14ac:dyDescent="0.25">
      <c r="B178" s="28"/>
      <c r="G178" s="13" t="s">
        <v>205</v>
      </c>
      <c r="H178" s="28"/>
      <c r="I178" s="28"/>
      <c r="J178" s="28"/>
      <c r="K178" s="28"/>
      <c r="L178" s="28"/>
      <c r="M178" s="28"/>
      <c r="N178" s="28" t="s">
        <v>13</v>
      </c>
      <c r="O178" s="28" t="s">
        <v>8</v>
      </c>
      <c r="P178" s="38">
        <f>INT(P177/1)*1</f>
        <v>268972</v>
      </c>
      <c r="Q178" s="30"/>
      <c r="R178" s="28"/>
    </row>
    <row r="179" spans="2:18" s="29" customFormat="1" ht="15.6" customHeight="1" x14ac:dyDescent="0.25">
      <c r="B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30"/>
      <c r="R179" s="28"/>
    </row>
    <row r="180" spans="2:18" s="29" customFormat="1" ht="15.6" customHeight="1" x14ac:dyDescent="0.25">
      <c r="B180" s="390" t="s">
        <v>387</v>
      </c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30"/>
      <c r="R180" s="28"/>
    </row>
    <row r="181" spans="2:18" s="29" customFormat="1" ht="15.6" customHeight="1" x14ac:dyDescent="0.25">
      <c r="B181" s="37">
        <v>1</v>
      </c>
      <c r="C181" s="35" t="s">
        <v>71</v>
      </c>
      <c r="D181" s="29" t="s">
        <v>312</v>
      </c>
      <c r="E181" s="29" t="s">
        <v>15</v>
      </c>
      <c r="F181" s="29" t="s">
        <v>8</v>
      </c>
      <c r="G181" s="28">
        <f>'Unit Price '!E64</f>
        <v>20550</v>
      </c>
      <c r="K181" s="28" t="s">
        <v>9</v>
      </c>
      <c r="L181" s="28" t="s">
        <v>8</v>
      </c>
      <c r="M181" s="28">
        <f>SUM(G181*B181)</f>
        <v>20550</v>
      </c>
      <c r="N181" s="28"/>
      <c r="O181" s="28"/>
      <c r="P181" s="28"/>
      <c r="Q181" s="30"/>
      <c r="R181" s="28"/>
    </row>
    <row r="182" spans="2:18" s="29" customFormat="1" ht="15.6" customHeight="1" x14ac:dyDescent="0.25">
      <c r="B182" s="37">
        <v>0.15</v>
      </c>
      <c r="C182" s="35" t="s">
        <v>72</v>
      </c>
      <c r="D182" s="382" t="s">
        <v>286</v>
      </c>
      <c r="E182" s="29" t="s">
        <v>15</v>
      </c>
      <c r="F182" s="29" t="s">
        <v>8</v>
      </c>
      <c r="G182" s="28">
        <f>G172</f>
        <v>164400</v>
      </c>
      <c r="K182" s="28" t="s">
        <v>9</v>
      </c>
      <c r="L182" s="28" t="s">
        <v>8</v>
      </c>
      <c r="M182" s="28">
        <f>0.35*G182</f>
        <v>57539.999999999993</v>
      </c>
      <c r="N182" s="28"/>
      <c r="O182" s="28"/>
      <c r="P182" s="28"/>
      <c r="Q182" s="30"/>
      <c r="R182" s="28"/>
    </row>
    <row r="183" spans="2:18" s="29" customFormat="1" ht="15.6" customHeight="1" x14ac:dyDescent="0.25">
      <c r="B183" s="37">
        <v>1.4999999999999999E-2</v>
      </c>
      <c r="C183" s="35" t="s">
        <v>72</v>
      </c>
      <c r="D183" s="18" t="s">
        <v>287</v>
      </c>
      <c r="E183" s="29" t="s">
        <v>15</v>
      </c>
      <c r="F183" s="29" t="s">
        <v>8</v>
      </c>
      <c r="G183" s="28">
        <f>G173</f>
        <v>178100</v>
      </c>
      <c r="H183" s="28" t="s">
        <v>13</v>
      </c>
      <c r="I183" s="28" t="s">
        <v>8</v>
      </c>
      <c r="J183" s="28">
        <f>SUM(G183*B183)</f>
        <v>2671.5</v>
      </c>
      <c r="K183" s="28"/>
      <c r="L183" s="28"/>
      <c r="M183" s="28"/>
      <c r="N183" s="28"/>
      <c r="O183" s="28"/>
      <c r="P183" s="28"/>
      <c r="Q183" s="30"/>
      <c r="R183" s="28"/>
    </row>
    <row r="184" spans="2:18" s="29" customFormat="1" ht="15.6" customHeight="1" x14ac:dyDescent="0.25">
      <c r="B184" s="37">
        <v>1.4999999999999999E-2</v>
      </c>
      <c r="C184" s="35" t="s">
        <v>72</v>
      </c>
      <c r="D184" s="10" t="s">
        <v>230</v>
      </c>
      <c r="E184" s="29" t="s">
        <v>15</v>
      </c>
      <c r="F184" s="29" t="s">
        <v>8</v>
      </c>
      <c r="G184" s="28">
        <f>G174</f>
        <v>109600</v>
      </c>
      <c r="H184" s="28" t="s">
        <v>13</v>
      </c>
      <c r="I184" s="28" t="s">
        <v>8</v>
      </c>
      <c r="J184" s="28">
        <f>SUM(G184*B184)</f>
        <v>1644</v>
      </c>
      <c r="K184" s="28"/>
      <c r="L184" s="28"/>
      <c r="M184" s="28"/>
      <c r="N184" s="28"/>
      <c r="O184" s="28"/>
      <c r="P184" s="28"/>
      <c r="Q184" s="30"/>
      <c r="R184" s="28"/>
    </row>
    <row r="185" spans="2:18" s="29" customFormat="1" ht="15.6" customHeight="1" x14ac:dyDescent="0.25">
      <c r="B185" s="37">
        <v>7.5000000000000002E-4</v>
      </c>
      <c r="C185" s="35" t="s">
        <v>72</v>
      </c>
      <c r="D185" s="381" t="s">
        <v>261</v>
      </c>
      <c r="E185" s="29" t="s">
        <v>15</v>
      </c>
      <c r="F185" s="29" t="s">
        <v>8</v>
      </c>
      <c r="G185" s="28">
        <f>G175</f>
        <v>178100</v>
      </c>
      <c r="H185" s="28" t="s">
        <v>13</v>
      </c>
      <c r="I185" s="28" t="s">
        <v>8</v>
      </c>
      <c r="J185" s="28">
        <f>SUM(G185*B185)</f>
        <v>133.57499999999999</v>
      </c>
      <c r="K185" s="28"/>
      <c r="L185" s="28"/>
      <c r="M185" s="28"/>
      <c r="N185" s="28"/>
      <c r="O185" s="28"/>
      <c r="P185" s="28"/>
      <c r="Q185" s="30"/>
      <c r="R185" s="28"/>
    </row>
    <row r="186" spans="2:18" s="29" customFormat="1" ht="15.6" customHeight="1" x14ac:dyDescent="0.25">
      <c r="B186" s="28"/>
      <c r="F186" s="28"/>
      <c r="G186" s="13" t="s">
        <v>228</v>
      </c>
      <c r="H186" s="28" t="s">
        <v>13</v>
      </c>
      <c r="I186" s="28" t="s">
        <v>8</v>
      </c>
      <c r="J186" s="28">
        <f>SUM(J181:J185)</f>
        <v>4449.0749999999998</v>
      </c>
      <c r="K186" s="28" t="s">
        <v>9</v>
      </c>
      <c r="L186" s="28" t="s">
        <v>8</v>
      </c>
      <c r="M186" s="28">
        <f>SUM(M181:M185)</f>
        <v>78090</v>
      </c>
      <c r="N186" s="28" t="s">
        <v>13</v>
      </c>
      <c r="O186" s="28" t="s">
        <v>8</v>
      </c>
      <c r="P186" s="28">
        <f>SUM(M186+J186)</f>
        <v>82539.074999999997</v>
      </c>
      <c r="Q186" s="30"/>
      <c r="R186" s="28"/>
    </row>
    <row r="187" spans="2:18" s="29" customFormat="1" ht="15.6" customHeight="1" x14ac:dyDescent="0.25">
      <c r="B187" s="28"/>
      <c r="G187" s="13" t="s">
        <v>228</v>
      </c>
      <c r="H187" s="28"/>
      <c r="I187" s="28"/>
      <c r="J187" s="28"/>
      <c r="K187" s="28"/>
      <c r="L187" s="28"/>
      <c r="M187" s="28"/>
      <c r="N187" s="28" t="s">
        <v>13</v>
      </c>
      <c r="O187" s="28" t="s">
        <v>8</v>
      </c>
      <c r="P187" s="28">
        <f>SUM(P186:P186)</f>
        <v>82539.074999999997</v>
      </c>
      <c r="Q187" s="30"/>
      <c r="R187" s="28"/>
    </row>
    <row r="188" spans="2:18" s="29" customFormat="1" ht="15.6" customHeight="1" x14ac:dyDescent="0.25">
      <c r="B188" s="28"/>
      <c r="G188" s="13" t="s">
        <v>205</v>
      </c>
      <c r="H188" s="28"/>
      <c r="I188" s="28"/>
      <c r="J188" s="28"/>
      <c r="K188" s="28"/>
      <c r="L188" s="28"/>
      <c r="M188" s="28"/>
      <c r="N188" s="28" t="s">
        <v>13</v>
      </c>
      <c r="O188" s="28" t="s">
        <v>8</v>
      </c>
      <c r="P188" s="38">
        <f>INT(P187/1)*1</f>
        <v>82539</v>
      </c>
      <c r="Q188" s="30"/>
      <c r="R188" s="28"/>
    </row>
    <row r="189" spans="2:18" s="29" customFormat="1" ht="15.6" customHeight="1" x14ac:dyDescent="0.25">
      <c r="B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30"/>
      <c r="R189" s="28"/>
    </row>
    <row r="190" spans="2:18" s="29" customFormat="1" ht="15.6" customHeight="1" x14ac:dyDescent="0.25">
      <c r="B190" s="28" t="s">
        <v>388</v>
      </c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30"/>
      <c r="R190" s="28"/>
    </row>
    <row r="191" spans="2:18" s="29" customFormat="1" ht="15.6" customHeight="1" x14ac:dyDescent="0.25">
      <c r="B191" s="37">
        <v>1</v>
      </c>
      <c r="C191" s="35" t="s">
        <v>71</v>
      </c>
      <c r="D191" s="29" t="s">
        <v>313</v>
      </c>
      <c r="E191" s="29" t="s">
        <v>15</v>
      </c>
      <c r="F191" s="29" t="s">
        <v>8</v>
      </c>
      <c r="G191" s="28">
        <f>'Unit Price '!E65</f>
        <v>17810</v>
      </c>
      <c r="K191" s="28" t="s">
        <v>9</v>
      </c>
      <c r="L191" s="28" t="s">
        <v>8</v>
      </c>
      <c r="M191" s="28">
        <f>SUM(G191*B191)</f>
        <v>17810</v>
      </c>
      <c r="N191" s="28"/>
      <c r="O191" s="28"/>
      <c r="P191" s="28"/>
      <c r="Q191" s="30"/>
      <c r="R191" s="28"/>
    </row>
    <row r="192" spans="2:18" s="29" customFormat="1" ht="15.6" customHeight="1" x14ac:dyDescent="0.25">
      <c r="B192" s="37">
        <v>0.1</v>
      </c>
      <c r="C192" s="35" t="s">
        <v>72</v>
      </c>
      <c r="D192" s="382" t="s">
        <v>286</v>
      </c>
      <c r="E192" s="29" t="s">
        <v>15</v>
      </c>
      <c r="F192" s="29" t="s">
        <v>8</v>
      </c>
      <c r="G192" s="28">
        <f>'Unit Price '!E111</f>
        <v>164400</v>
      </c>
      <c r="K192" s="28" t="s">
        <v>9</v>
      </c>
      <c r="L192" s="28" t="s">
        <v>8</v>
      </c>
      <c r="M192" s="28">
        <f>0.35*G192</f>
        <v>57539.999999999993</v>
      </c>
      <c r="N192" s="28"/>
      <c r="O192" s="28"/>
      <c r="P192" s="28"/>
      <c r="Q192" s="30"/>
      <c r="R192" s="28"/>
    </row>
    <row r="193" spans="2:18" s="29" customFormat="1" ht="15.6" customHeight="1" x14ac:dyDescent="0.25">
      <c r="B193" s="37">
        <v>0.1</v>
      </c>
      <c r="C193" s="35" t="s">
        <v>72</v>
      </c>
      <c r="D193" s="18" t="s">
        <v>287</v>
      </c>
      <c r="E193" s="29" t="s">
        <v>15</v>
      </c>
      <c r="F193" s="29" t="s">
        <v>8</v>
      </c>
      <c r="G193" s="28">
        <f>'Unit Price '!E110</f>
        <v>178100</v>
      </c>
      <c r="H193" s="28" t="s">
        <v>13</v>
      </c>
      <c r="I193" s="28" t="s">
        <v>8</v>
      </c>
      <c r="J193" s="28">
        <f>SUM(G193*B193)</f>
        <v>17810</v>
      </c>
      <c r="K193" s="28"/>
      <c r="L193" s="28"/>
      <c r="M193" s="28"/>
      <c r="N193" s="28"/>
      <c r="O193" s="28"/>
      <c r="P193" s="28"/>
      <c r="Q193" s="30"/>
      <c r="R193" s="28"/>
    </row>
    <row r="194" spans="2:18" s="29" customFormat="1" ht="15.6" customHeight="1" x14ac:dyDescent="0.25">
      <c r="B194" s="37">
        <v>0.01</v>
      </c>
      <c r="C194" s="35" t="s">
        <v>72</v>
      </c>
      <c r="D194" s="10" t="s">
        <v>230</v>
      </c>
      <c r="E194" s="29" t="s">
        <v>15</v>
      </c>
      <c r="F194" s="29" t="s">
        <v>8</v>
      </c>
      <c r="G194" s="28">
        <f>'Unit Price '!E120</f>
        <v>109600</v>
      </c>
      <c r="H194" s="28" t="s">
        <v>13</v>
      </c>
      <c r="I194" s="28" t="s">
        <v>8</v>
      </c>
      <c r="J194" s="28">
        <f>SUM(G194*B194)</f>
        <v>1096</v>
      </c>
      <c r="K194" s="28"/>
      <c r="L194" s="28"/>
      <c r="M194" s="28"/>
      <c r="N194" s="28"/>
      <c r="O194" s="28"/>
      <c r="P194" s="28"/>
      <c r="Q194" s="30"/>
      <c r="R194" s="28"/>
    </row>
    <row r="195" spans="2:18" s="29" customFormat="1" ht="15.6" customHeight="1" x14ac:dyDescent="0.25">
      <c r="B195" s="37">
        <v>5.0000000000000001E-3</v>
      </c>
      <c r="C195" s="35" t="s">
        <v>72</v>
      </c>
      <c r="D195" s="381" t="s">
        <v>261</v>
      </c>
      <c r="E195" s="29" t="s">
        <v>15</v>
      </c>
      <c r="F195" s="29" t="s">
        <v>8</v>
      </c>
      <c r="G195" s="28">
        <f>'Unit Price '!E109</f>
        <v>178100</v>
      </c>
      <c r="H195" s="28" t="s">
        <v>13</v>
      </c>
      <c r="I195" s="28" t="s">
        <v>8</v>
      </c>
      <c r="J195" s="28">
        <f>SUM(G195*B195)</f>
        <v>890.5</v>
      </c>
      <c r="K195" s="28"/>
      <c r="L195" s="28"/>
      <c r="M195" s="28"/>
      <c r="N195" s="28"/>
      <c r="O195" s="28"/>
      <c r="P195" s="28"/>
      <c r="Q195" s="30"/>
      <c r="R195" s="28"/>
    </row>
    <row r="196" spans="2:18" s="29" customFormat="1" ht="15.6" customHeight="1" x14ac:dyDescent="0.25">
      <c r="B196" s="28"/>
      <c r="F196" s="28"/>
      <c r="G196" s="13" t="s">
        <v>228</v>
      </c>
      <c r="H196" s="28" t="s">
        <v>13</v>
      </c>
      <c r="I196" s="28" t="s">
        <v>8</v>
      </c>
      <c r="J196" s="28">
        <f>SUM(J191:J195)</f>
        <v>19796.5</v>
      </c>
      <c r="K196" s="28" t="s">
        <v>9</v>
      </c>
      <c r="L196" s="28" t="s">
        <v>8</v>
      </c>
      <c r="M196" s="28">
        <f>SUM(M191:M195)</f>
        <v>75350</v>
      </c>
      <c r="N196" s="28" t="s">
        <v>13</v>
      </c>
      <c r="O196" s="28" t="s">
        <v>8</v>
      </c>
      <c r="P196" s="28">
        <f>SUM(M196+J196)</f>
        <v>95146.5</v>
      </c>
      <c r="Q196" s="30"/>
      <c r="R196" s="28"/>
    </row>
    <row r="197" spans="2:18" s="29" customFormat="1" ht="15.6" customHeight="1" x14ac:dyDescent="0.25">
      <c r="B197" s="28"/>
      <c r="G197" s="13" t="s">
        <v>228</v>
      </c>
      <c r="H197" s="28"/>
      <c r="I197" s="28"/>
      <c r="J197" s="28"/>
      <c r="K197" s="28"/>
      <c r="L197" s="28"/>
      <c r="M197" s="28"/>
      <c r="N197" s="28" t="s">
        <v>13</v>
      </c>
      <c r="O197" s="28" t="s">
        <v>8</v>
      </c>
      <c r="P197" s="28">
        <f>SUM(P196:P196)</f>
        <v>95146.5</v>
      </c>
      <c r="Q197" s="30"/>
      <c r="R197" s="28"/>
    </row>
    <row r="198" spans="2:18" s="29" customFormat="1" ht="15.6" customHeight="1" x14ac:dyDescent="0.25">
      <c r="B198" s="28"/>
      <c r="G198" s="13" t="s">
        <v>205</v>
      </c>
      <c r="H198" s="28"/>
      <c r="I198" s="28"/>
      <c r="J198" s="28"/>
      <c r="K198" s="28"/>
      <c r="L198" s="28"/>
      <c r="M198" s="28"/>
      <c r="N198" s="28" t="s">
        <v>13</v>
      </c>
      <c r="O198" s="28" t="s">
        <v>8</v>
      </c>
      <c r="P198" s="38">
        <f>INT(P197/1)*1</f>
        <v>95146</v>
      </c>
      <c r="Q198" s="30"/>
      <c r="R198" s="28"/>
    </row>
    <row r="199" spans="2:18" s="29" customFormat="1" ht="15.6" customHeight="1" x14ac:dyDescent="0.25">
      <c r="B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30"/>
      <c r="R199" s="28"/>
    </row>
    <row r="200" spans="2:18" s="29" customFormat="1" ht="15.6" customHeight="1" x14ac:dyDescent="0.25">
      <c r="B200" s="391" t="s">
        <v>389</v>
      </c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30"/>
      <c r="R200" s="28"/>
    </row>
    <row r="201" spans="2:18" s="29" customFormat="1" ht="15.6" customHeight="1" x14ac:dyDescent="0.25">
      <c r="B201" s="39">
        <v>1</v>
      </c>
      <c r="C201" s="29" t="s">
        <v>22</v>
      </c>
      <c r="D201" s="384" t="s">
        <v>316</v>
      </c>
      <c r="E201" s="29" t="s">
        <v>15</v>
      </c>
      <c r="F201" s="29" t="s">
        <v>8</v>
      </c>
      <c r="G201" s="28">
        <f>'Unit Price '!E67</f>
        <v>20550</v>
      </c>
      <c r="K201" s="28" t="s">
        <v>9</v>
      </c>
      <c r="L201" s="28" t="s">
        <v>8</v>
      </c>
      <c r="M201" s="28">
        <f>SUM(G201*B201)</f>
        <v>20550</v>
      </c>
      <c r="N201" s="28"/>
      <c r="O201" s="28"/>
      <c r="P201" s="28"/>
      <c r="Q201" s="30"/>
      <c r="R201" s="28"/>
    </row>
    <row r="202" spans="2:18" s="29" customFormat="1" ht="15.6" customHeight="1" x14ac:dyDescent="0.25">
      <c r="B202" s="39">
        <v>35</v>
      </c>
      <c r="C202" s="29" t="s">
        <v>46</v>
      </c>
      <c r="D202" s="29" t="s">
        <v>314</v>
      </c>
      <c r="E202" s="29" t="s">
        <v>15</v>
      </c>
      <c r="F202" s="29" t="s">
        <v>8</v>
      </c>
      <c r="G202" s="28">
        <f>'Unit Price '!E63</f>
        <v>13700</v>
      </c>
      <c r="K202" s="28" t="s">
        <v>9</v>
      </c>
      <c r="L202" s="28" t="s">
        <v>8</v>
      </c>
      <c r="M202" s="28">
        <f>0.35*G202</f>
        <v>4795</v>
      </c>
      <c r="N202" s="28"/>
      <c r="O202" s="28"/>
      <c r="P202" s="28"/>
      <c r="Q202" s="30"/>
      <c r="R202" s="28"/>
    </row>
    <row r="203" spans="2:18" s="29" customFormat="1" ht="15.6" customHeight="1" x14ac:dyDescent="0.25">
      <c r="B203" s="39">
        <v>0.1</v>
      </c>
      <c r="C203" s="29" t="s">
        <v>44</v>
      </c>
      <c r="D203" s="18" t="s">
        <v>287</v>
      </c>
      <c r="E203" s="29" t="s">
        <v>15</v>
      </c>
      <c r="F203" s="29" t="s">
        <v>8</v>
      </c>
      <c r="G203" s="28">
        <f>G193</f>
        <v>178100</v>
      </c>
      <c r="H203" s="28" t="s">
        <v>13</v>
      </c>
      <c r="I203" s="28" t="s">
        <v>8</v>
      </c>
      <c r="J203" s="28">
        <f>SUM(G203*B203)</f>
        <v>17810</v>
      </c>
      <c r="K203" s="28"/>
      <c r="L203" s="28"/>
      <c r="M203" s="28"/>
      <c r="N203" s="28"/>
      <c r="O203" s="28"/>
      <c r="P203" s="28"/>
      <c r="Q203" s="30"/>
      <c r="R203" s="28"/>
    </row>
    <row r="204" spans="2:18" s="29" customFormat="1" ht="15.6" customHeight="1" x14ac:dyDescent="0.25">
      <c r="B204" s="39">
        <v>0.01</v>
      </c>
      <c r="C204" s="29" t="s">
        <v>44</v>
      </c>
      <c r="D204" s="382" t="s">
        <v>286</v>
      </c>
      <c r="E204" s="29" t="s">
        <v>15</v>
      </c>
      <c r="F204" s="29" t="s">
        <v>8</v>
      </c>
      <c r="G204" s="28">
        <f>G192</f>
        <v>164400</v>
      </c>
      <c r="H204" s="28" t="s">
        <v>13</v>
      </c>
      <c r="I204" s="28" t="s">
        <v>8</v>
      </c>
      <c r="J204" s="28">
        <f>SUM(G204*B204)</f>
        <v>1644</v>
      </c>
      <c r="K204" s="28"/>
      <c r="L204" s="28"/>
      <c r="M204" s="28"/>
      <c r="N204" s="28"/>
      <c r="O204" s="28"/>
      <c r="P204" s="28"/>
      <c r="Q204" s="30"/>
      <c r="R204" s="28"/>
    </row>
    <row r="205" spans="2:18" s="29" customFormat="1" ht="15.6" customHeight="1" x14ac:dyDescent="0.25">
      <c r="B205" s="39">
        <v>0.01</v>
      </c>
      <c r="C205" s="29" t="s">
        <v>44</v>
      </c>
      <c r="D205" s="10" t="s">
        <v>230</v>
      </c>
      <c r="E205" s="29" t="s">
        <v>15</v>
      </c>
      <c r="F205" s="29" t="s">
        <v>8</v>
      </c>
      <c r="G205" s="28">
        <f>G194</f>
        <v>109600</v>
      </c>
      <c r="H205" s="28" t="s">
        <v>13</v>
      </c>
      <c r="I205" s="28" t="s">
        <v>8</v>
      </c>
      <c r="J205" s="28">
        <f>SUM(G205*B205)</f>
        <v>1096</v>
      </c>
      <c r="K205" s="28"/>
      <c r="L205" s="28"/>
      <c r="M205" s="28"/>
      <c r="N205" s="28"/>
      <c r="O205" s="28"/>
      <c r="P205" s="28"/>
      <c r="Q205" s="30"/>
      <c r="R205" s="28"/>
    </row>
    <row r="206" spans="2:18" s="29" customFormat="1" ht="15.6" customHeight="1" x14ac:dyDescent="0.25">
      <c r="B206" s="40">
        <v>5.0000000000000001E-4</v>
      </c>
      <c r="C206" s="29" t="s">
        <v>44</v>
      </c>
      <c r="D206" s="381" t="s">
        <v>261</v>
      </c>
      <c r="E206" s="29" t="s">
        <v>15</v>
      </c>
      <c r="F206" s="29" t="s">
        <v>8</v>
      </c>
      <c r="G206" s="28">
        <f>G195</f>
        <v>178100</v>
      </c>
      <c r="H206" s="28" t="s">
        <v>13</v>
      </c>
      <c r="I206" s="28" t="s">
        <v>8</v>
      </c>
      <c r="J206" s="28">
        <f>SUM(G206*B206)</f>
        <v>89.05</v>
      </c>
      <c r="K206" s="28"/>
      <c r="L206" s="28"/>
      <c r="M206" s="28"/>
      <c r="N206" s="28"/>
      <c r="O206" s="28"/>
      <c r="P206" s="28"/>
      <c r="Q206" s="30"/>
      <c r="R206" s="28"/>
    </row>
    <row r="207" spans="2:18" s="29" customFormat="1" ht="15.6" customHeight="1" x14ac:dyDescent="0.25">
      <c r="B207" s="28"/>
      <c r="F207" s="28"/>
      <c r="G207" s="13" t="s">
        <v>228</v>
      </c>
      <c r="H207" s="28" t="s">
        <v>13</v>
      </c>
      <c r="I207" s="28" t="s">
        <v>8</v>
      </c>
      <c r="J207" s="28">
        <f>SUM(J201:J206)</f>
        <v>20639.05</v>
      </c>
      <c r="K207" s="28" t="s">
        <v>9</v>
      </c>
      <c r="L207" s="28" t="s">
        <v>8</v>
      </c>
      <c r="M207" s="28">
        <f>SUM(M201:M206)</f>
        <v>25345</v>
      </c>
      <c r="N207" s="28" t="s">
        <v>13</v>
      </c>
      <c r="O207" s="28" t="s">
        <v>8</v>
      </c>
      <c r="P207" s="28">
        <f>SUM(M207+J207)</f>
        <v>45984.05</v>
      </c>
      <c r="Q207" s="30"/>
      <c r="R207" s="28"/>
    </row>
    <row r="208" spans="2:18" s="29" customFormat="1" ht="15.6" customHeight="1" x14ac:dyDescent="0.25">
      <c r="B208" s="28"/>
      <c r="G208" s="13" t="s">
        <v>228</v>
      </c>
      <c r="H208" s="28"/>
      <c r="I208" s="28"/>
      <c r="J208" s="28"/>
      <c r="K208" s="28"/>
      <c r="L208" s="28"/>
      <c r="M208" s="28"/>
      <c r="N208" s="28" t="s">
        <v>13</v>
      </c>
      <c r="O208" s="28" t="s">
        <v>8</v>
      </c>
      <c r="P208" s="28">
        <f>SUM(P207:P207)</f>
        <v>45984.05</v>
      </c>
      <c r="Q208" s="30"/>
      <c r="R208" s="28"/>
    </row>
    <row r="209" spans="2:18" s="29" customFormat="1" ht="15.6" customHeight="1" x14ac:dyDescent="0.25">
      <c r="B209" s="28"/>
      <c r="G209" s="13" t="s">
        <v>205</v>
      </c>
      <c r="H209" s="28"/>
      <c r="I209" s="28"/>
      <c r="J209" s="28"/>
      <c r="K209" s="28"/>
      <c r="L209" s="28"/>
      <c r="M209" s="28"/>
      <c r="N209" s="28" t="s">
        <v>13</v>
      </c>
      <c r="O209" s="28" t="s">
        <v>8</v>
      </c>
      <c r="P209" s="38">
        <f>INT(P208/1)*1</f>
        <v>45984</v>
      </c>
      <c r="Q209" s="30"/>
      <c r="R209" s="28"/>
    </row>
    <row r="210" spans="2:18" s="29" customFormat="1" ht="15.6" customHeight="1" x14ac:dyDescent="0.25">
      <c r="B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30"/>
      <c r="R210" s="28"/>
    </row>
    <row r="211" spans="2:18" s="29" customFormat="1" ht="15.6" customHeight="1" x14ac:dyDescent="0.25">
      <c r="B211" s="28" t="s">
        <v>390</v>
      </c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30"/>
      <c r="R211" s="28"/>
    </row>
    <row r="212" spans="2:18" s="29" customFormat="1" ht="15.6" customHeight="1" x14ac:dyDescent="0.25">
      <c r="B212" s="39">
        <v>1</v>
      </c>
      <c r="C212" s="29" t="s">
        <v>22</v>
      </c>
      <c r="D212" s="29" t="s">
        <v>292</v>
      </c>
      <c r="E212" s="29" t="s">
        <v>15</v>
      </c>
      <c r="F212" s="29" t="s">
        <v>8</v>
      </c>
      <c r="G212" s="28">
        <f>'Unit Price '!E68</f>
        <v>20550</v>
      </c>
      <c r="K212" s="28" t="s">
        <v>9</v>
      </c>
      <c r="L212" s="28" t="s">
        <v>8</v>
      </c>
      <c r="M212" s="28">
        <f>SUM(G212*B212)</f>
        <v>20550</v>
      </c>
      <c r="N212" s="28"/>
      <c r="O212" s="28"/>
      <c r="P212" s="28"/>
      <c r="Q212" s="30"/>
      <c r="R212" s="28"/>
    </row>
    <row r="213" spans="2:18" s="29" customFormat="1" ht="15.6" customHeight="1" x14ac:dyDescent="0.25">
      <c r="B213" s="39">
        <v>35</v>
      </c>
      <c r="C213" s="29" t="s">
        <v>46</v>
      </c>
      <c r="D213" s="29" t="s">
        <v>314</v>
      </c>
      <c r="E213" s="29" t="s">
        <v>15</v>
      </c>
      <c r="F213" s="29" t="s">
        <v>8</v>
      </c>
      <c r="G213" s="28">
        <f>G202</f>
        <v>13700</v>
      </c>
      <c r="K213" s="28" t="s">
        <v>9</v>
      </c>
      <c r="L213" s="28" t="s">
        <v>8</v>
      </c>
      <c r="M213" s="28">
        <f>0.35*G213</f>
        <v>4795</v>
      </c>
      <c r="N213" s="28"/>
      <c r="O213" s="28"/>
      <c r="P213" s="28"/>
      <c r="Q213" s="30"/>
      <c r="R213" s="28"/>
    </row>
    <row r="214" spans="2:18" s="29" customFormat="1" ht="15.6" customHeight="1" x14ac:dyDescent="0.25">
      <c r="B214" s="39">
        <v>0.05</v>
      </c>
      <c r="C214" s="29" t="s">
        <v>44</v>
      </c>
      <c r="D214" s="29" t="str">
        <f>D203</f>
        <v>Chief carpenter</v>
      </c>
      <c r="E214" s="29" t="s">
        <v>15</v>
      </c>
      <c r="F214" s="29" t="s">
        <v>8</v>
      </c>
      <c r="G214" s="28">
        <f>G203</f>
        <v>178100</v>
      </c>
      <c r="H214" s="28" t="s">
        <v>13</v>
      </c>
      <c r="I214" s="28" t="s">
        <v>8</v>
      </c>
      <c r="J214" s="28">
        <f>SUM(G214*B214)</f>
        <v>8905</v>
      </c>
      <c r="K214" s="28"/>
      <c r="L214" s="28"/>
      <c r="M214" s="28"/>
      <c r="N214" s="28"/>
      <c r="O214" s="28"/>
      <c r="P214" s="28"/>
      <c r="Q214" s="30"/>
      <c r="R214" s="28"/>
    </row>
    <row r="215" spans="2:18" s="29" customFormat="1" ht="15.6" customHeight="1" x14ac:dyDescent="0.25">
      <c r="B215" s="39">
        <v>5.0000000000000001E-3</v>
      </c>
      <c r="C215" s="29" t="s">
        <v>44</v>
      </c>
      <c r="D215" s="29" t="str">
        <f>D204</f>
        <v xml:space="preserve">
Carpenter</v>
      </c>
      <c r="E215" s="29" t="s">
        <v>15</v>
      </c>
      <c r="F215" s="29" t="s">
        <v>8</v>
      </c>
      <c r="G215" s="28">
        <f>G204</f>
        <v>164400</v>
      </c>
      <c r="H215" s="28" t="s">
        <v>13</v>
      </c>
      <c r="I215" s="28" t="s">
        <v>8</v>
      </c>
      <c r="J215" s="28">
        <f>SUM(G215*B215)</f>
        <v>822</v>
      </c>
      <c r="K215" s="28"/>
      <c r="L215" s="28"/>
      <c r="M215" s="28"/>
      <c r="N215" s="28"/>
      <c r="O215" s="28"/>
      <c r="P215" s="28"/>
      <c r="Q215" s="30"/>
      <c r="R215" s="28"/>
    </row>
    <row r="216" spans="2:18" s="29" customFormat="1" ht="15.6" customHeight="1" x14ac:dyDescent="0.25">
      <c r="B216" s="39">
        <v>0.01</v>
      </c>
      <c r="C216" s="29" t="s">
        <v>44</v>
      </c>
      <c r="D216" s="10" t="s">
        <v>230</v>
      </c>
      <c r="E216" s="29" t="s">
        <v>15</v>
      </c>
      <c r="F216" s="29" t="s">
        <v>8</v>
      </c>
      <c r="G216" s="28">
        <f>G205</f>
        <v>109600</v>
      </c>
      <c r="H216" s="28" t="s">
        <v>13</v>
      </c>
      <c r="I216" s="28" t="s">
        <v>8</v>
      </c>
      <c r="J216" s="28">
        <f>SUM(G216*B216)</f>
        <v>1096</v>
      </c>
      <c r="K216" s="28"/>
      <c r="L216" s="28"/>
      <c r="M216" s="28"/>
      <c r="N216" s="28"/>
      <c r="O216" s="28"/>
      <c r="P216" s="28"/>
      <c r="Q216" s="30"/>
      <c r="R216" s="28"/>
    </row>
    <row r="217" spans="2:18" s="29" customFormat="1" ht="15.6" customHeight="1" x14ac:dyDescent="0.25">
      <c r="B217" s="40">
        <v>5.0000000000000001E-4</v>
      </c>
      <c r="C217" s="29" t="s">
        <v>44</v>
      </c>
      <c r="D217" s="381" t="s">
        <v>261</v>
      </c>
      <c r="E217" s="29" t="s">
        <v>15</v>
      </c>
      <c r="F217" s="29" t="s">
        <v>8</v>
      </c>
      <c r="G217" s="28">
        <f>G206</f>
        <v>178100</v>
      </c>
      <c r="H217" s="28" t="s">
        <v>13</v>
      </c>
      <c r="I217" s="28" t="s">
        <v>8</v>
      </c>
      <c r="J217" s="28">
        <f>SUM(G217*B217)</f>
        <v>89.05</v>
      </c>
      <c r="K217" s="28"/>
      <c r="L217" s="28"/>
      <c r="M217" s="28"/>
      <c r="N217" s="28"/>
      <c r="O217" s="28"/>
      <c r="P217" s="28"/>
      <c r="Q217" s="30"/>
      <c r="R217" s="28"/>
    </row>
    <row r="218" spans="2:18" s="29" customFormat="1" ht="15.6" customHeight="1" x14ac:dyDescent="0.25">
      <c r="B218" s="28"/>
      <c r="F218" s="28"/>
      <c r="G218" s="13" t="s">
        <v>228</v>
      </c>
      <c r="H218" s="28" t="s">
        <v>13</v>
      </c>
      <c r="I218" s="28" t="s">
        <v>8</v>
      </c>
      <c r="J218" s="28">
        <f>SUM(J212:J217)</f>
        <v>10912.05</v>
      </c>
      <c r="K218" s="28" t="s">
        <v>9</v>
      </c>
      <c r="L218" s="28" t="s">
        <v>8</v>
      </c>
      <c r="M218" s="28">
        <f>SUM(M212:M217)</f>
        <v>25345</v>
      </c>
      <c r="N218" s="28" t="s">
        <v>13</v>
      </c>
      <c r="O218" s="28" t="s">
        <v>8</v>
      </c>
      <c r="P218" s="28">
        <f>SUM(M218+J218)</f>
        <v>36257.050000000003</v>
      </c>
      <c r="Q218" s="30"/>
      <c r="R218" s="28"/>
    </row>
    <row r="219" spans="2:18" s="29" customFormat="1" ht="15.6" customHeight="1" x14ac:dyDescent="0.25">
      <c r="B219" s="28"/>
      <c r="G219" s="13" t="s">
        <v>228</v>
      </c>
      <c r="H219" s="28"/>
      <c r="I219" s="28"/>
      <c r="J219" s="28"/>
      <c r="K219" s="28"/>
      <c r="L219" s="28"/>
      <c r="M219" s="28"/>
      <c r="N219" s="28" t="s">
        <v>13</v>
      </c>
      <c r="O219" s="28" t="s">
        <v>8</v>
      </c>
      <c r="P219" s="28">
        <f>SUM(P218:P218)</f>
        <v>36257.050000000003</v>
      </c>
      <c r="Q219" s="30"/>
      <c r="R219" s="28"/>
    </row>
    <row r="220" spans="2:18" s="29" customFormat="1" ht="15.6" customHeight="1" x14ac:dyDescent="0.25">
      <c r="B220" s="28"/>
      <c r="G220" s="13" t="s">
        <v>205</v>
      </c>
      <c r="H220" s="28"/>
      <c r="I220" s="28"/>
      <c r="J220" s="28"/>
      <c r="K220" s="28"/>
      <c r="L220" s="28"/>
      <c r="M220" s="28"/>
      <c r="N220" s="28" t="s">
        <v>13</v>
      </c>
      <c r="O220" s="28" t="s">
        <v>8</v>
      </c>
      <c r="P220" s="38">
        <f>INT(P219/1)*1</f>
        <v>36257</v>
      </c>
      <c r="Q220" s="30"/>
      <c r="R220" s="28"/>
    </row>
    <row r="221" spans="2:18" s="29" customFormat="1" ht="15.6" customHeight="1" x14ac:dyDescent="0.25">
      <c r="B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30"/>
      <c r="R221" s="28"/>
    </row>
    <row r="222" spans="2:18" ht="15.6" customHeight="1" x14ac:dyDescent="0.25">
      <c r="B222" s="13" t="s">
        <v>391</v>
      </c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4"/>
      <c r="R222" s="13"/>
    </row>
    <row r="223" spans="2:18" ht="15.6" customHeight="1" x14ac:dyDescent="0.25">
      <c r="B223" s="15">
        <v>1</v>
      </c>
      <c r="C223" s="10" t="s">
        <v>22</v>
      </c>
      <c r="D223" s="10" t="s">
        <v>317</v>
      </c>
      <c r="E223" s="10" t="s">
        <v>15</v>
      </c>
      <c r="F223" s="10" t="s">
        <v>8</v>
      </c>
      <c r="G223" s="13">
        <f>'Unit Price '!E69</f>
        <v>20550</v>
      </c>
      <c r="K223" s="13" t="s">
        <v>9</v>
      </c>
      <c r="L223" s="13" t="s">
        <v>8</v>
      </c>
      <c r="M223" s="13">
        <f>SUM(G223*B223)</f>
        <v>20550</v>
      </c>
      <c r="N223" s="13"/>
      <c r="O223" s="13"/>
      <c r="P223" s="13"/>
      <c r="Q223" s="14"/>
      <c r="R223" s="13"/>
    </row>
    <row r="224" spans="2:18" ht="15.6" customHeight="1" x14ac:dyDescent="0.25">
      <c r="B224" s="15">
        <v>35</v>
      </c>
      <c r="C224" s="10" t="s">
        <v>46</v>
      </c>
      <c r="D224" s="29" t="s">
        <v>314</v>
      </c>
      <c r="E224" s="10" t="s">
        <v>15</v>
      </c>
      <c r="F224" s="10" t="s">
        <v>8</v>
      </c>
      <c r="G224" s="13">
        <f>G213</f>
        <v>13700</v>
      </c>
      <c r="K224" s="13" t="s">
        <v>9</v>
      </c>
      <c r="L224" s="13" t="s">
        <v>8</v>
      </c>
      <c r="M224" s="13">
        <f>0.35*G224</f>
        <v>4795</v>
      </c>
      <c r="N224" s="13"/>
      <c r="O224" s="13"/>
      <c r="P224" s="13"/>
      <c r="Q224" s="14"/>
      <c r="R224" s="13"/>
    </row>
    <row r="225" spans="2:18" ht="15.6" customHeight="1" x14ac:dyDescent="0.25">
      <c r="B225" s="15">
        <v>0.05</v>
      </c>
      <c r="C225" s="10" t="s">
        <v>44</v>
      </c>
      <c r="D225" s="10" t="str">
        <f>D214</f>
        <v>Chief carpenter</v>
      </c>
      <c r="E225" s="10" t="s">
        <v>15</v>
      </c>
      <c r="F225" s="10" t="s">
        <v>8</v>
      </c>
      <c r="G225" s="13">
        <f>G214</f>
        <v>178100</v>
      </c>
      <c r="H225" s="13" t="s">
        <v>13</v>
      </c>
      <c r="I225" s="13" t="s">
        <v>8</v>
      </c>
      <c r="J225" s="13">
        <f>SUM(G225*B225)</f>
        <v>8905</v>
      </c>
      <c r="K225" s="13"/>
      <c r="L225" s="13"/>
      <c r="M225" s="13"/>
      <c r="N225" s="13"/>
      <c r="O225" s="13"/>
      <c r="P225" s="13"/>
      <c r="Q225" s="14"/>
      <c r="R225" s="13"/>
    </row>
    <row r="226" spans="2:18" ht="15.6" customHeight="1" x14ac:dyDescent="0.25">
      <c r="B226" s="15">
        <v>5.0000000000000001E-3</v>
      </c>
      <c r="C226" s="10" t="s">
        <v>44</v>
      </c>
      <c r="D226" s="10" t="str">
        <f>D215</f>
        <v xml:space="preserve">
Carpenter</v>
      </c>
      <c r="E226" s="10" t="s">
        <v>15</v>
      </c>
      <c r="F226" s="10" t="s">
        <v>8</v>
      </c>
      <c r="G226" s="13">
        <f>G215</f>
        <v>164400</v>
      </c>
      <c r="H226" s="13" t="s">
        <v>13</v>
      </c>
      <c r="I226" s="13" t="s">
        <v>8</v>
      </c>
      <c r="J226" s="13">
        <f>SUM(G226*B226)</f>
        <v>822</v>
      </c>
      <c r="K226" s="13"/>
      <c r="L226" s="13"/>
      <c r="M226" s="13"/>
      <c r="N226" s="13"/>
      <c r="O226" s="13"/>
      <c r="P226" s="13"/>
      <c r="Q226" s="14"/>
      <c r="R226" s="13"/>
    </row>
    <row r="227" spans="2:18" ht="15.6" customHeight="1" x14ac:dyDescent="0.25">
      <c r="B227" s="15">
        <v>0.01</v>
      </c>
      <c r="C227" s="10" t="s">
        <v>44</v>
      </c>
      <c r="D227" s="10" t="s">
        <v>230</v>
      </c>
      <c r="E227" s="10" t="s">
        <v>15</v>
      </c>
      <c r="F227" s="10" t="s">
        <v>8</v>
      </c>
      <c r="G227" s="13">
        <f>G216</f>
        <v>109600</v>
      </c>
      <c r="H227" s="13" t="s">
        <v>13</v>
      </c>
      <c r="I227" s="13" t="s">
        <v>8</v>
      </c>
      <c r="J227" s="13">
        <f>SUM(G227*B227)</f>
        <v>1096</v>
      </c>
      <c r="K227" s="13"/>
      <c r="L227" s="13"/>
      <c r="M227" s="13"/>
      <c r="N227" s="13"/>
      <c r="O227" s="13"/>
      <c r="P227" s="13"/>
      <c r="Q227" s="14"/>
      <c r="R227" s="13"/>
    </row>
    <row r="228" spans="2:18" ht="15.6" customHeight="1" x14ac:dyDescent="0.25">
      <c r="B228" s="41">
        <v>5.0000000000000001E-4</v>
      </c>
      <c r="C228" s="10" t="s">
        <v>44</v>
      </c>
      <c r="D228" s="381" t="s">
        <v>261</v>
      </c>
      <c r="E228" s="10" t="s">
        <v>15</v>
      </c>
      <c r="F228" s="10" t="s">
        <v>8</v>
      </c>
      <c r="G228" s="13">
        <f>G217</f>
        <v>178100</v>
      </c>
      <c r="H228" s="13" t="s">
        <v>13</v>
      </c>
      <c r="I228" s="13" t="s">
        <v>8</v>
      </c>
      <c r="J228" s="13">
        <f>SUM(G228*B228)</f>
        <v>89.05</v>
      </c>
      <c r="K228" s="13"/>
      <c r="L228" s="13"/>
      <c r="M228" s="13"/>
      <c r="N228" s="13"/>
      <c r="O228" s="13"/>
      <c r="P228" s="13"/>
      <c r="Q228" s="14"/>
      <c r="R228" s="13"/>
    </row>
    <row r="229" spans="2:18" ht="15.6" customHeight="1" x14ac:dyDescent="0.25">
      <c r="B229" s="13"/>
      <c r="F229" s="13"/>
      <c r="G229" s="13" t="s">
        <v>228</v>
      </c>
      <c r="H229" s="13" t="s">
        <v>13</v>
      </c>
      <c r="I229" s="13" t="s">
        <v>8</v>
      </c>
      <c r="J229" s="13">
        <f>SUM(J223:J228)</f>
        <v>10912.05</v>
      </c>
      <c r="K229" s="13" t="s">
        <v>9</v>
      </c>
      <c r="L229" s="13" t="s">
        <v>8</v>
      </c>
      <c r="M229" s="13">
        <f>SUM(M223:M228)</f>
        <v>25345</v>
      </c>
      <c r="N229" s="13" t="s">
        <v>13</v>
      </c>
      <c r="O229" s="13" t="s">
        <v>8</v>
      </c>
      <c r="P229" s="13">
        <f>SUM(M229+J229)</f>
        <v>36257.050000000003</v>
      </c>
      <c r="Q229" s="14"/>
      <c r="R229" s="13"/>
    </row>
    <row r="230" spans="2:18" ht="15.6" customHeight="1" x14ac:dyDescent="0.25">
      <c r="B230" s="13"/>
      <c r="G230" s="13" t="s">
        <v>228</v>
      </c>
      <c r="H230" s="13"/>
      <c r="I230" s="13"/>
      <c r="J230" s="13"/>
      <c r="K230" s="13"/>
      <c r="L230" s="13"/>
      <c r="M230" s="13"/>
      <c r="N230" s="13" t="s">
        <v>13</v>
      </c>
      <c r="O230" s="13" t="s">
        <v>8</v>
      </c>
      <c r="P230" s="13">
        <f>SUM(P229:P229)</f>
        <v>36257.050000000003</v>
      </c>
      <c r="Q230" s="14"/>
      <c r="R230" s="13"/>
    </row>
    <row r="231" spans="2:18" ht="15.6" customHeight="1" x14ac:dyDescent="0.25">
      <c r="B231" s="13"/>
      <c r="G231" s="13" t="s">
        <v>205</v>
      </c>
      <c r="H231" s="13"/>
      <c r="I231" s="13"/>
      <c r="J231" s="13"/>
      <c r="K231" s="13"/>
      <c r="L231" s="13"/>
      <c r="M231" s="13"/>
      <c r="N231" s="13" t="s">
        <v>13</v>
      </c>
      <c r="O231" s="13" t="s">
        <v>8</v>
      </c>
      <c r="P231" s="16">
        <f>INT(P230/1)*1</f>
        <v>36257</v>
      </c>
      <c r="Q231" s="14"/>
      <c r="R231" s="13"/>
    </row>
    <row r="232" spans="2:18" ht="15.6" customHeight="1" x14ac:dyDescent="0.25">
      <c r="B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4"/>
      <c r="R232" s="13"/>
    </row>
    <row r="233" spans="2:18" ht="15.6" customHeight="1" x14ac:dyDescent="0.25">
      <c r="B233" s="13" t="s">
        <v>392</v>
      </c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4"/>
      <c r="R233" s="13"/>
    </row>
    <row r="234" spans="2:18" ht="15.6" customHeight="1" x14ac:dyDescent="0.25">
      <c r="B234" s="15">
        <v>1</v>
      </c>
      <c r="C234" s="10" t="s">
        <v>23</v>
      </c>
      <c r="D234" s="10" t="s">
        <v>318</v>
      </c>
      <c r="E234" s="10" t="s">
        <v>15</v>
      </c>
      <c r="F234" s="10" t="s">
        <v>8</v>
      </c>
      <c r="G234" s="13">
        <f>'Unit Price '!E19</f>
        <v>95900</v>
      </c>
      <c r="K234" s="13" t="s">
        <v>9</v>
      </c>
      <c r="L234" s="13" t="s">
        <v>8</v>
      </c>
      <c r="M234" s="13">
        <f>SUM(G234*B234)</f>
        <v>95900</v>
      </c>
      <c r="N234" s="13"/>
      <c r="O234" s="13"/>
      <c r="P234" s="13"/>
      <c r="Q234" s="14"/>
      <c r="R234" s="13"/>
    </row>
    <row r="235" spans="2:18" ht="15.6" customHeight="1" x14ac:dyDescent="0.25">
      <c r="B235" s="15">
        <v>4.08</v>
      </c>
      <c r="C235" s="10" t="s">
        <v>17</v>
      </c>
      <c r="D235" s="10" t="s">
        <v>43</v>
      </c>
      <c r="E235" s="10" t="s">
        <v>15</v>
      </c>
      <c r="F235" s="10" t="s">
        <v>8</v>
      </c>
      <c r="G235" s="13">
        <f>'Unit Price '!E9</f>
        <v>1918</v>
      </c>
      <c r="K235" s="13" t="s">
        <v>9</v>
      </c>
      <c r="L235" s="13" t="s">
        <v>8</v>
      </c>
      <c r="M235" s="13">
        <f>SUM(G235*B235)</f>
        <v>7825.4400000000005</v>
      </c>
      <c r="N235" s="13"/>
      <c r="O235" s="13"/>
      <c r="P235" s="13"/>
      <c r="Q235" s="14"/>
      <c r="R235" s="13"/>
    </row>
    <row r="236" spans="2:18" ht="15.6" customHeight="1" x14ac:dyDescent="0.25">
      <c r="B236" s="15">
        <v>0.6</v>
      </c>
      <c r="C236" s="10" t="s">
        <v>17</v>
      </c>
      <c r="D236" s="10" t="s">
        <v>319</v>
      </c>
      <c r="E236" s="10" t="s">
        <v>15</v>
      </c>
      <c r="F236" s="10" t="s">
        <v>8</v>
      </c>
      <c r="G236" s="13">
        <f>'Unit Price '!E8</f>
        <v>20550</v>
      </c>
      <c r="K236" s="13" t="s">
        <v>9</v>
      </c>
      <c r="L236" s="13" t="s">
        <v>8</v>
      </c>
      <c r="M236" s="13">
        <f>SUM(G236*B236)</f>
        <v>12330</v>
      </c>
      <c r="N236" s="13"/>
      <c r="O236" s="13"/>
      <c r="P236" s="13"/>
      <c r="Q236" s="14"/>
      <c r="R236" s="13"/>
    </row>
    <row r="237" spans="2:18" ht="15.6" customHeight="1" x14ac:dyDescent="0.25">
      <c r="B237" s="15">
        <v>8.9999999999999993E-3</v>
      </c>
      <c r="C237" s="10" t="s">
        <v>16</v>
      </c>
      <c r="D237" s="10" t="s">
        <v>303</v>
      </c>
      <c r="E237" s="10" t="s">
        <v>15</v>
      </c>
      <c r="F237" s="10" t="s">
        <v>8</v>
      </c>
      <c r="G237" s="13">
        <f>'Unit Price '!E12</f>
        <v>119875</v>
      </c>
      <c r="K237" s="13" t="s">
        <v>9</v>
      </c>
      <c r="L237" s="13" t="s">
        <v>8</v>
      </c>
      <c r="M237" s="13">
        <f>SUM(G237*B237)</f>
        <v>1078.875</v>
      </c>
      <c r="N237" s="13"/>
      <c r="O237" s="13"/>
      <c r="P237" s="13"/>
      <c r="Q237" s="14"/>
      <c r="R237" s="13"/>
    </row>
    <row r="238" spans="2:18" ht="15.6" customHeight="1" x14ac:dyDescent="0.25">
      <c r="B238" s="15">
        <v>0.25</v>
      </c>
      <c r="C238" s="10" t="s">
        <v>44</v>
      </c>
      <c r="D238" s="10" t="s">
        <v>294</v>
      </c>
      <c r="E238" s="10" t="s">
        <v>15</v>
      </c>
      <c r="F238" s="10" t="s">
        <v>8</v>
      </c>
      <c r="G238" s="13">
        <f>'Unit Price '!E113</f>
        <v>164400</v>
      </c>
      <c r="H238" s="13" t="s">
        <v>13</v>
      </c>
      <c r="I238" s="13" t="s">
        <v>8</v>
      </c>
      <c r="J238" s="13">
        <f>SUM(G238*B238)</f>
        <v>41100</v>
      </c>
      <c r="K238" s="13"/>
      <c r="L238" s="13"/>
      <c r="M238" s="13"/>
      <c r="N238" s="13"/>
      <c r="O238" s="13"/>
      <c r="P238" s="13"/>
      <c r="Q238" s="14"/>
      <c r="R238" s="13"/>
    </row>
    <row r="239" spans="2:18" ht="15.6" customHeight="1" x14ac:dyDescent="0.25">
      <c r="B239" s="15">
        <v>2.5000000000000001E-2</v>
      </c>
      <c r="C239" s="10" t="s">
        <v>44</v>
      </c>
      <c r="D239" s="91" t="s">
        <v>320</v>
      </c>
      <c r="E239" s="10" t="s">
        <v>15</v>
      </c>
      <c r="F239" s="10" t="s">
        <v>8</v>
      </c>
      <c r="G239" s="13">
        <f>'Unit Price '!E112</f>
        <v>178100</v>
      </c>
      <c r="H239" s="13" t="s">
        <v>13</v>
      </c>
      <c r="I239" s="13" t="s">
        <v>8</v>
      </c>
      <c r="J239" s="13">
        <f>SUM(G239*B239)</f>
        <v>4452.5</v>
      </c>
      <c r="K239" s="13"/>
      <c r="L239" s="13"/>
      <c r="M239" s="13"/>
      <c r="N239" s="13"/>
      <c r="O239" s="13"/>
      <c r="P239" s="13"/>
      <c r="Q239" s="14"/>
      <c r="R239" s="13"/>
    </row>
    <row r="240" spans="2:18" ht="15.6" customHeight="1" x14ac:dyDescent="0.25">
      <c r="B240" s="15">
        <v>0.5</v>
      </c>
      <c r="C240" s="10" t="s">
        <v>44</v>
      </c>
      <c r="D240" s="10" t="s">
        <v>230</v>
      </c>
      <c r="E240" s="10" t="s">
        <v>15</v>
      </c>
      <c r="F240" s="10" t="s">
        <v>8</v>
      </c>
      <c r="G240" s="13">
        <f>'Unit Price '!E120</f>
        <v>109600</v>
      </c>
      <c r="H240" s="13" t="s">
        <v>13</v>
      </c>
      <c r="I240" s="13" t="s">
        <v>8</v>
      </c>
      <c r="J240" s="13">
        <f>SUM(G240*B240)</f>
        <v>54800</v>
      </c>
      <c r="K240" s="13"/>
      <c r="L240" s="13"/>
      <c r="M240" s="13"/>
      <c r="N240" s="13"/>
      <c r="O240" s="13"/>
      <c r="P240" s="13"/>
      <c r="Q240" s="14"/>
      <c r="R240" s="13"/>
    </row>
    <row r="241" spans="2:18" ht="15.6" customHeight="1" x14ac:dyDescent="0.25">
      <c r="B241" s="15">
        <v>2.5000000000000001E-2</v>
      </c>
      <c r="C241" s="10" t="s">
        <v>44</v>
      </c>
      <c r="D241" s="381" t="s">
        <v>261</v>
      </c>
      <c r="E241" s="10" t="s">
        <v>15</v>
      </c>
      <c r="F241" s="10" t="s">
        <v>8</v>
      </c>
      <c r="G241" s="13">
        <f>'Unit Price '!E109</f>
        <v>178100</v>
      </c>
      <c r="H241" s="13" t="s">
        <v>13</v>
      </c>
      <c r="I241" s="13" t="s">
        <v>8</v>
      </c>
      <c r="J241" s="13">
        <f>SUM(G241*B241)</f>
        <v>4452.5</v>
      </c>
      <c r="K241" s="13"/>
      <c r="L241" s="13"/>
      <c r="M241" s="13"/>
      <c r="N241" s="13"/>
      <c r="O241" s="13"/>
      <c r="P241" s="13"/>
      <c r="Q241" s="14"/>
      <c r="R241" s="13"/>
    </row>
    <row r="242" spans="2:18" ht="15.6" customHeight="1" x14ac:dyDescent="0.25">
      <c r="B242" s="13"/>
      <c r="F242" s="13"/>
      <c r="G242" s="13" t="s">
        <v>228</v>
      </c>
      <c r="H242" s="13" t="s">
        <v>13</v>
      </c>
      <c r="I242" s="13" t="s">
        <v>8</v>
      </c>
      <c r="J242" s="13">
        <f>SUM(J238:J241)</f>
        <v>104805</v>
      </c>
      <c r="K242" s="13" t="s">
        <v>9</v>
      </c>
      <c r="L242" s="13" t="s">
        <v>8</v>
      </c>
      <c r="M242" s="13">
        <f>SUM(M234:M241)</f>
        <v>117134.315</v>
      </c>
      <c r="N242" s="13" t="s">
        <v>13</v>
      </c>
      <c r="O242" s="13" t="s">
        <v>8</v>
      </c>
      <c r="P242" s="13">
        <f>SUM(M242+J242)</f>
        <v>221939.315</v>
      </c>
      <c r="Q242" s="14"/>
      <c r="R242" s="13"/>
    </row>
    <row r="243" spans="2:18" ht="15.6" customHeight="1" x14ac:dyDescent="0.25">
      <c r="B243" s="13"/>
      <c r="G243" s="13" t="s">
        <v>228</v>
      </c>
      <c r="H243" s="13"/>
      <c r="I243" s="13"/>
      <c r="J243" s="13"/>
      <c r="K243" s="13"/>
      <c r="L243" s="13"/>
      <c r="M243" s="13"/>
      <c r="N243" s="13" t="s">
        <v>13</v>
      </c>
      <c r="O243" s="13" t="s">
        <v>8</v>
      </c>
      <c r="P243" s="13">
        <f>SUM(P242:P242)</f>
        <v>221939.315</v>
      </c>
      <c r="Q243" s="14"/>
      <c r="R243" s="13"/>
    </row>
    <row r="244" spans="2:18" ht="15.6" customHeight="1" x14ac:dyDescent="0.25">
      <c r="B244" s="13"/>
      <c r="G244" s="13" t="s">
        <v>205</v>
      </c>
      <c r="H244" s="13"/>
      <c r="I244" s="13"/>
      <c r="J244" s="13"/>
      <c r="K244" s="13"/>
      <c r="L244" s="13"/>
      <c r="M244" s="13"/>
      <c r="N244" s="13" t="s">
        <v>13</v>
      </c>
      <c r="O244" s="13" t="s">
        <v>8</v>
      </c>
      <c r="P244" s="16">
        <f>INT(P243/1)*1</f>
        <v>221939</v>
      </c>
      <c r="Q244" s="14"/>
      <c r="R244" s="13"/>
    </row>
    <row r="245" spans="2:18" ht="15.6" customHeight="1" x14ac:dyDescent="0.25">
      <c r="B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4"/>
      <c r="R245" s="13"/>
    </row>
    <row r="246" spans="2:18" ht="15.6" customHeight="1" x14ac:dyDescent="0.25">
      <c r="B246" s="91" t="s">
        <v>393</v>
      </c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4"/>
      <c r="R246" s="13"/>
    </row>
    <row r="247" spans="2:18" ht="15.6" customHeight="1" x14ac:dyDescent="0.25">
      <c r="B247" s="210">
        <v>2.5</v>
      </c>
      <c r="C247" s="209" t="s">
        <v>71</v>
      </c>
      <c r="D247" s="91" t="s">
        <v>321</v>
      </c>
      <c r="E247" s="10" t="s">
        <v>15</v>
      </c>
      <c r="F247" s="10" t="s">
        <v>8</v>
      </c>
      <c r="G247" s="13">
        <f>G234/4</f>
        <v>23975</v>
      </c>
      <c r="K247" s="13" t="s">
        <v>9</v>
      </c>
      <c r="L247" s="13" t="s">
        <v>8</v>
      </c>
      <c r="M247" s="13">
        <f>SUM(G247*B247)</f>
        <v>59937.5</v>
      </c>
      <c r="N247" s="13"/>
      <c r="O247" s="13"/>
      <c r="P247" s="13"/>
      <c r="Q247" s="14"/>
      <c r="R247" s="13"/>
    </row>
    <row r="248" spans="2:18" ht="15.6" customHeight="1" x14ac:dyDescent="0.25">
      <c r="B248" s="210">
        <v>1.1399999999999999</v>
      </c>
      <c r="C248" s="209" t="s">
        <v>58</v>
      </c>
      <c r="D248" s="91" t="s">
        <v>75</v>
      </c>
      <c r="E248" s="10" t="s">
        <v>15</v>
      </c>
      <c r="F248" s="10" t="s">
        <v>8</v>
      </c>
      <c r="G248" s="13">
        <f>G235</f>
        <v>1918</v>
      </c>
      <c r="K248" s="13" t="s">
        <v>9</v>
      </c>
      <c r="L248" s="13" t="s">
        <v>8</v>
      </c>
      <c r="M248" s="13">
        <f>SUM(G248*B248)</f>
        <v>2186.52</v>
      </c>
      <c r="N248" s="13"/>
      <c r="O248" s="13"/>
      <c r="P248" s="13"/>
      <c r="Q248" s="14"/>
      <c r="R248" s="13"/>
    </row>
    <row r="249" spans="2:18" ht="15.6" customHeight="1" x14ac:dyDescent="0.25">
      <c r="B249" s="210">
        <v>3.0000000000000001E-3</v>
      </c>
      <c r="C249" s="209" t="s">
        <v>74</v>
      </c>
      <c r="D249" s="91" t="s">
        <v>302</v>
      </c>
      <c r="E249" s="10" t="s">
        <v>15</v>
      </c>
      <c r="F249" s="10" t="s">
        <v>8</v>
      </c>
      <c r="G249" s="13">
        <f>G237</f>
        <v>119875</v>
      </c>
      <c r="K249" s="13" t="s">
        <v>9</v>
      </c>
      <c r="L249" s="13" t="s">
        <v>8</v>
      </c>
      <c r="M249" s="13">
        <f>SUM(G249*B249)</f>
        <v>359.625</v>
      </c>
      <c r="N249" s="13"/>
      <c r="O249" s="13"/>
      <c r="P249" s="13"/>
      <c r="Q249" s="14"/>
      <c r="R249" s="13"/>
    </row>
    <row r="250" spans="2:18" ht="15.6" customHeight="1" x14ac:dyDescent="0.25">
      <c r="B250" s="210">
        <v>0.05</v>
      </c>
      <c r="C250" s="209" t="s">
        <v>58</v>
      </c>
      <c r="D250" s="91" t="s">
        <v>322</v>
      </c>
      <c r="E250" s="10" t="s">
        <v>15</v>
      </c>
      <c r="F250" s="10" t="s">
        <v>8</v>
      </c>
      <c r="G250" s="13">
        <f>G236</f>
        <v>20550</v>
      </c>
      <c r="K250" s="13" t="s">
        <v>9</v>
      </c>
      <c r="L250" s="13" t="s">
        <v>8</v>
      </c>
      <c r="M250" s="13">
        <f>SUM(G250*B250)</f>
        <v>1027.5</v>
      </c>
      <c r="N250" s="13"/>
      <c r="O250" s="13"/>
      <c r="P250" s="13"/>
      <c r="Q250" s="14"/>
      <c r="R250" s="13"/>
    </row>
    <row r="251" spans="2:18" ht="15.6" customHeight="1" x14ac:dyDescent="0.25">
      <c r="B251" s="210">
        <v>0.09</v>
      </c>
      <c r="C251" s="209" t="s">
        <v>72</v>
      </c>
      <c r="D251" s="91" t="s">
        <v>294</v>
      </c>
      <c r="E251" s="10" t="s">
        <v>15</v>
      </c>
      <c r="F251" s="10" t="s">
        <v>8</v>
      </c>
      <c r="G251" s="13">
        <f>G238</f>
        <v>164400</v>
      </c>
      <c r="H251" s="13" t="s">
        <v>13</v>
      </c>
      <c r="I251" s="13" t="s">
        <v>8</v>
      </c>
      <c r="J251" s="13">
        <f>SUM(G251*B251)</f>
        <v>14796</v>
      </c>
      <c r="K251" s="13"/>
      <c r="L251" s="13"/>
      <c r="M251" s="13"/>
      <c r="N251" s="13"/>
      <c r="O251" s="13"/>
      <c r="P251" s="13"/>
      <c r="Q251" s="14"/>
      <c r="R251" s="13"/>
    </row>
    <row r="252" spans="2:18" ht="15.6" customHeight="1" x14ac:dyDescent="0.25">
      <c r="B252" s="210">
        <v>8.9999999999999993E-3</v>
      </c>
      <c r="C252" s="209" t="s">
        <v>72</v>
      </c>
      <c r="D252" s="91" t="s">
        <v>323</v>
      </c>
      <c r="E252" s="10" t="s">
        <v>15</v>
      </c>
      <c r="F252" s="10" t="s">
        <v>8</v>
      </c>
      <c r="G252" s="13">
        <f>G239</f>
        <v>178100</v>
      </c>
      <c r="H252" s="13" t="s">
        <v>13</v>
      </c>
      <c r="I252" s="13" t="s">
        <v>8</v>
      </c>
      <c r="J252" s="13">
        <f>SUM(G252*B252)</f>
        <v>1602.8999999999999</v>
      </c>
      <c r="K252" s="13"/>
      <c r="L252" s="13"/>
      <c r="M252" s="13"/>
      <c r="N252" s="13"/>
      <c r="O252" s="13"/>
      <c r="P252" s="13"/>
      <c r="Q252" s="14"/>
      <c r="R252" s="13"/>
    </row>
    <row r="253" spans="2:18" ht="15.6" customHeight="1" x14ac:dyDescent="0.25">
      <c r="B253" s="210">
        <v>0.09</v>
      </c>
      <c r="C253" s="209" t="s">
        <v>72</v>
      </c>
      <c r="D253" s="10" t="s">
        <v>230</v>
      </c>
      <c r="E253" s="10" t="s">
        <v>15</v>
      </c>
      <c r="F253" s="10" t="s">
        <v>8</v>
      </c>
      <c r="G253" s="13">
        <f>G240</f>
        <v>109600</v>
      </c>
      <c r="H253" s="13" t="s">
        <v>13</v>
      </c>
      <c r="I253" s="13" t="s">
        <v>8</v>
      </c>
      <c r="J253" s="13">
        <f>SUM(G253*B253)</f>
        <v>9864</v>
      </c>
      <c r="K253" s="13"/>
      <c r="L253" s="13"/>
      <c r="M253" s="13"/>
      <c r="N253" s="13"/>
      <c r="O253" s="13"/>
      <c r="P253" s="13"/>
      <c r="Q253" s="14"/>
      <c r="R253" s="13"/>
    </row>
    <row r="254" spans="2:18" ht="15.6" customHeight="1" x14ac:dyDescent="0.25">
      <c r="B254" s="210">
        <v>4.4999999999999997E-3</v>
      </c>
      <c r="C254" s="209" t="s">
        <v>72</v>
      </c>
      <c r="D254" s="381" t="s">
        <v>261</v>
      </c>
      <c r="E254" s="10" t="s">
        <v>15</v>
      </c>
      <c r="F254" s="10" t="s">
        <v>8</v>
      </c>
      <c r="G254" s="13">
        <f>G241</f>
        <v>178100</v>
      </c>
      <c r="H254" s="13" t="s">
        <v>13</v>
      </c>
      <c r="I254" s="13" t="s">
        <v>8</v>
      </c>
      <c r="J254" s="13">
        <f>SUM(G254*B254)</f>
        <v>801.44999999999993</v>
      </c>
      <c r="K254" s="13"/>
      <c r="L254" s="13"/>
      <c r="M254" s="13"/>
      <c r="N254" s="13"/>
      <c r="O254" s="13"/>
      <c r="P254" s="13"/>
      <c r="Q254" s="14"/>
      <c r="R254" s="13"/>
    </row>
    <row r="255" spans="2:18" ht="15.6" customHeight="1" x14ac:dyDescent="0.25">
      <c r="B255" s="13"/>
      <c r="F255" s="13"/>
      <c r="G255" s="13" t="s">
        <v>228</v>
      </c>
      <c r="H255" s="13" t="s">
        <v>13</v>
      </c>
      <c r="I255" s="13" t="s">
        <v>8</v>
      </c>
      <c r="J255" s="13">
        <f>SUM(J251:J254)</f>
        <v>27064.350000000002</v>
      </c>
      <c r="K255" s="13" t="s">
        <v>9</v>
      </c>
      <c r="L255" s="13" t="s">
        <v>8</v>
      </c>
      <c r="M255" s="13">
        <f>SUM(M247:M254)</f>
        <v>63511.144999999997</v>
      </c>
      <c r="N255" s="13" t="s">
        <v>13</v>
      </c>
      <c r="O255" s="13" t="s">
        <v>8</v>
      </c>
      <c r="P255" s="13">
        <f>SUM(M255+J255)</f>
        <v>90575.494999999995</v>
      </c>
      <c r="Q255" s="14"/>
      <c r="R255" s="13"/>
    </row>
    <row r="256" spans="2:18" ht="15.6" customHeight="1" x14ac:dyDescent="0.25">
      <c r="B256" s="13"/>
      <c r="G256" s="13" t="s">
        <v>228</v>
      </c>
      <c r="H256" s="13"/>
      <c r="I256" s="13"/>
      <c r="J256" s="13"/>
      <c r="K256" s="13"/>
      <c r="L256" s="13"/>
      <c r="M256" s="13"/>
      <c r="N256" s="13" t="s">
        <v>13</v>
      </c>
      <c r="O256" s="13" t="s">
        <v>8</v>
      </c>
      <c r="P256" s="13">
        <f>SUM(P255:P255)</f>
        <v>90575.494999999995</v>
      </c>
      <c r="Q256" s="14"/>
      <c r="R256" s="13"/>
    </row>
    <row r="257" spans="2:18" ht="15.6" customHeight="1" x14ac:dyDescent="0.25">
      <c r="B257" s="13"/>
      <c r="G257" s="13" t="s">
        <v>205</v>
      </c>
      <c r="H257" s="13"/>
      <c r="I257" s="13"/>
      <c r="J257" s="13"/>
      <c r="K257" s="13"/>
      <c r="L257" s="13"/>
      <c r="M257" s="13"/>
      <c r="N257" s="13" t="s">
        <v>13</v>
      </c>
      <c r="O257" s="13" t="s">
        <v>8</v>
      </c>
      <c r="P257" s="16">
        <f>INT(P256/1)*1</f>
        <v>90575</v>
      </c>
      <c r="Q257" s="14"/>
      <c r="R257" s="13"/>
    </row>
    <row r="258" spans="2:18" ht="15.6" customHeight="1" x14ac:dyDescent="0.25">
      <c r="B258" s="13"/>
      <c r="G258" s="13"/>
      <c r="H258" s="13"/>
      <c r="I258" s="13"/>
      <c r="J258" s="13"/>
      <c r="K258" s="13"/>
      <c r="L258" s="13"/>
      <c r="M258" s="13"/>
      <c r="N258" s="13"/>
      <c r="O258" s="13"/>
      <c r="P258" s="16"/>
      <c r="Q258" s="14"/>
      <c r="R258" s="13"/>
    </row>
    <row r="259" spans="2:18" ht="15.6" customHeight="1" x14ac:dyDescent="0.25">
      <c r="B259" s="13" t="s">
        <v>394</v>
      </c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4"/>
      <c r="R259" s="13"/>
    </row>
    <row r="260" spans="2:18" ht="15.6" customHeight="1" x14ac:dyDescent="0.25">
      <c r="B260" s="32">
        <v>1</v>
      </c>
      <c r="C260" s="33" t="s">
        <v>23</v>
      </c>
      <c r="D260" s="31" t="s">
        <v>324</v>
      </c>
      <c r="E260" s="10" t="s">
        <v>15</v>
      </c>
      <c r="F260" s="10" t="s">
        <v>8</v>
      </c>
      <c r="G260" s="13">
        <f>'Unit Price '!E20</f>
        <v>82200</v>
      </c>
      <c r="K260" s="13" t="s">
        <v>9</v>
      </c>
      <c r="L260" s="13" t="s">
        <v>8</v>
      </c>
      <c r="M260" s="13">
        <f>SUM(G260*B260)</f>
        <v>82200</v>
      </c>
      <c r="N260" s="13"/>
      <c r="O260" s="13"/>
      <c r="P260" s="13"/>
      <c r="Q260" s="14"/>
      <c r="R260" s="13"/>
    </row>
    <row r="261" spans="2:18" ht="15.6" customHeight="1" x14ac:dyDescent="0.25">
      <c r="B261" s="32">
        <v>10</v>
      </c>
      <c r="C261" s="33" t="s">
        <v>58</v>
      </c>
      <c r="D261" s="31" t="s">
        <v>75</v>
      </c>
      <c r="E261" s="10" t="s">
        <v>15</v>
      </c>
      <c r="F261" s="10" t="s">
        <v>8</v>
      </c>
      <c r="G261" s="13">
        <f>'Unit Price '!E9</f>
        <v>1918</v>
      </c>
      <c r="K261" s="13" t="s">
        <v>9</v>
      </c>
      <c r="L261" s="13" t="s">
        <v>8</v>
      </c>
      <c r="M261" s="13">
        <f>SUM(G261*B261)</f>
        <v>19180</v>
      </c>
      <c r="N261" s="13"/>
      <c r="O261" s="13"/>
      <c r="P261" s="13"/>
      <c r="Q261" s="14"/>
      <c r="R261" s="13"/>
    </row>
    <row r="262" spans="2:18" ht="15.6" customHeight="1" x14ac:dyDescent="0.25">
      <c r="B262" s="32">
        <v>4.4999999999999998E-2</v>
      </c>
      <c r="C262" s="33" t="s">
        <v>74</v>
      </c>
      <c r="D262" s="91" t="s">
        <v>302</v>
      </c>
      <c r="E262" s="10" t="s">
        <v>15</v>
      </c>
      <c r="F262" s="10" t="s">
        <v>8</v>
      </c>
      <c r="G262" s="13">
        <f>'Unit Price '!E12</f>
        <v>119875</v>
      </c>
      <c r="K262" s="13" t="s">
        <v>9</v>
      </c>
      <c r="L262" s="13" t="s">
        <v>8</v>
      </c>
      <c r="M262" s="13">
        <f>SUM(G262*B262)</f>
        <v>5394.375</v>
      </c>
      <c r="N262" s="13"/>
      <c r="O262" s="13"/>
      <c r="P262" s="13"/>
      <c r="Q262" s="14"/>
      <c r="R262" s="13"/>
    </row>
    <row r="263" spans="2:18" ht="15.6" customHeight="1" x14ac:dyDescent="0.25">
      <c r="B263" s="32">
        <v>1.5</v>
      </c>
      <c r="C263" s="33" t="s">
        <v>58</v>
      </c>
      <c r="D263" s="91" t="s">
        <v>322</v>
      </c>
      <c r="E263" s="10" t="s">
        <v>15</v>
      </c>
      <c r="F263" s="10" t="s">
        <v>8</v>
      </c>
      <c r="G263" s="13">
        <f>'Unit Price '!E8</f>
        <v>20550</v>
      </c>
      <c r="K263" s="13" t="s">
        <v>9</v>
      </c>
      <c r="L263" s="13" t="s">
        <v>8</v>
      </c>
      <c r="M263" s="13">
        <f>SUM(G263*B263)</f>
        <v>30825</v>
      </c>
      <c r="N263" s="13"/>
      <c r="O263" s="13"/>
      <c r="P263" s="13"/>
      <c r="Q263" s="14"/>
      <c r="R263" s="13"/>
    </row>
    <row r="264" spans="2:18" ht="15.6" customHeight="1" x14ac:dyDescent="0.25">
      <c r="B264" s="34">
        <v>0.35</v>
      </c>
      <c r="C264" s="33" t="s">
        <v>72</v>
      </c>
      <c r="D264" s="91" t="s">
        <v>294</v>
      </c>
      <c r="E264" s="10" t="s">
        <v>15</v>
      </c>
      <c r="F264" s="10" t="s">
        <v>8</v>
      </c>
      <c r="G264" s="13">
        <f>G238</f>
        <v>164400</v>
      </c>
      <c r="H264" s="13" t="s">
        <v>13</v>
      </c>
      <c r="I264" s="13" t="s">
        <v>8</v>
      </c>
      <c r="J264" s="13">
        <f>SUM(G264*B264)</f>
        <v>57539.999999999993</v>
      </c>
      <c r="K264" s="13"/>
      <c r="L264" s="13"/>
      <c r="M264" s="13"/>
      <c r="N264" s="13"/>
      <c r="O264" s="13"/>
      <c r="P264" s="13"/>
      <c r="Q264" s="14"/>
      <c r="R264" s="13"/>
    </row>
    <row r="265" spans="2:18" ht="15.6" customHeight="1" x14ac:dyDescent="0.25">
      <c r="B265" s="34">
        <v>3.5000000000000003E-2</v>
      </c>
      <c r="C265" s="33" t="s">
        <v>72</v>
      </c>
      <c r="D265" s="91" t="s">
        <v>323</v>
      </c>
      <c r="E265" s="10" t="s">
        <v>15</v>
      </c>
      <c r="F265" s="10" t="s">
        <v>8</v>
      </c>
      <c r="G265" s="13">
        <f>G239</f>
        <v>178100</v>
      </c>
      <c r="H265" s="13" t="s">
        <v>13</v>
      </c>
      <c r="I265" s="13" t="s">
        <v>8</v>
      </c>
      <c r="J265" s="13">
        <f>SUM(G265*B265)</f>
        <v>6233.5000000000009</v>
      </c>
      <c r="K265" s="13"/>
      <c r="L265" s="13"/>
      <c r="M265" s="13"/>
      <c r="N265" s="13"/>
      <c r="O265" s="13"/>
      <c r="P265" s="13"/>
      <c r="Q265" s="14"/>
      <c r="R265" s="13"/>
    </row>
    <row r="266" spans="2:18" ht="15.6" customHeight="1" x14ac:dyDescent="0.25">
      <c r="B266" s="34">
        <v>0.7</v>
      </c>
      <c r="C266" s="33" t="s">
        <v>72</v>
      </c>
      <c r="D266" s="10" t="s">
        <v>230</v>
      </c>
      <c r="E266" s="10" t="s">
        <v>15</v>
      </c>
      <c r="F266" s="10" t="s">
        <v>8</v>
      </c>
      <c r="G266" s="13">
        <f>G240</f>
        <v>109600</v>
      </c>
      <c r="H266" s="13" t="s">
        <v>13</v>
      </c>
      <c r="I266" s="13" t="s">
        <v>8</v>
      </c>
      <c r="J266" s="13">
        <f>SUM(G266*B266)</f>
        <v>76720</v>
      </c>
      <c r="K266" s="13"/>
      <c r="L266" s="13"/>
      <c r="M266" s="13"/>
      <c r="N266" s="13"/>
      <c r="O266" s="13"/>
      <c r="P266" s="13"/>
      <c r="Q266" s="14"/>
      <c r="R266" s="13"/>
    </row>
    <row r="267" spans="2:18" ht="15.6" customHeight="1" x14ac:dyDescent="0.25">
      <c r="B267" s="34">
        <v>3.5000000000000003E-2</v>
      </c>
      <c r="C267" s="33" t="s">
        <v>72</v>
      </c>
      <c r="D267" s="381" t="s">
        <v>261</v>
      </c>
      <c r="E267" s="10" t="s">
        <v>15</v>
      </c>
      <c r="F267" s="10" t="s">
        <v>8</v>
      </c>
      <c r="G267" s="13">
        <f>G241</f>
        <v>178100</v>
      </c>
      <c r="H267" s="13" t="s">
        <v>13</v>
      </c>
      <c r="I267" s="13" t="s">
        <v>8</v>
      </c>
      <c r="J267" s="13">
        <f>SUM(G267*B267)</f>
        <v>6233.5000000000009</v>
      </c>
      <c r="K267" s="13"/>
      <c r="L267" s="13"/>
      <c r="M267" s="13"/>
      <c r="N267" s="13"/>
      <c r="O267" s="13"/>
      <c r="P267" s="13"/>
      <c r="Q267" s="14"/>
      <c r="R267" s="13"/>
    </row>
    <row r="268" spans="2:18" ht="15.6" customHeight="1" x14ac:dyDescent="0.25">
      <c r="B268" s="13"/>
      <c r="F268" s="13"/>
      <c r="G268" s="13" t="s">
        <v>228</v>
      </c>
      <c r="H268" s="13" t="s">
        <v>13</v>
      </c>
      <c r="I268" s="13" t="s">
        <v>8</v>
      </c>
      <c r="J268" s="13">
        <f>SUM(J264:J267)</f>
        <v>146727</v>
      </c>
      <c r="K268" s="13" t="s">
        <v>9</v>
      </c>
      <c r="L268" s="13" t="s">
        <v>8</v>
      </c>
      <c r="M268" s="13">
        <f>SUM(M260:M267)</f>
        <v>137599.375</v>
      </c>
      <c r="N268" s="13" t="s">
        <v>13</v>
      </c>
      <c r="O268" s="13" t="s">
        <v>8</v>
      </c>
      <c r="P268" s="13">
        <f>SUM(M268+J268)</f>
        <v>284326.375</v>
      </c>
      <c r="Q268" s="14"/>
      <c r="R268" s="13"/>
    </row>
    <row r="269" spans="2:18" ht="15.6" customHeight="1" x14ac:dyDescent="0.25">
      <c r="B269" s="13"/>
      <c r="G269" s="13" t="s">
        <v>228</v>
      </c>
      <c r="H269" s="13"/>
      <c r="I269" s="13"/>
      <c r="J269" s="13"/>
      <c r="K269" s="13"/>
      <c r="L269" s="13"/>
      <c r="M269" s="13"/>
      <c r="N269" s="13" t="s">
        <v>13</v>
      </c>
      <c r="O269" s="13" t="s">
        <v>8</v>
      </c>
      <c r="P269" s="13">
        <f>SUM(P268:P268)</f>
        <v>284326.375</v>
      </c>
      <c r="Q269" s="14"/>
      <c r="R269" s="13"/>
    </row>
    <row r="270" spans="2:18" ht="15.6" customHeight="1" x14ac:dyDescent="0.25">
      <c r="B270" s="13"/>
      <c r="G270" s="13" t="s">
        <v>205</v>
      </c>
      <c r="H270" s="13"/>
      <c r="I270" s="13"/>
      <c r="J270" s="13"/>
      <c r="K270" s="13"/>
      <c r="L270" s="13"/>
      <c r="M270" s="13"/>
      <c r="N270" s="13" t="s">
        <v>13</v>
      </c>
      <c r="O270" s="13" t="s">
        <v>8</v>
      </c>
      <c r="P270" s="16">
        <f>INT(P269/1)*1</f>
        <v>284326</v>
      </c>
      <c r="Q270" s="14"/>
      <c r="R270" s="13"/>
    </row>
    <row r="271" spans="2:18" ht="15.6" customHeight="1" x14ac:dyDescent="0.25">
      <c r="B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4"/>
      <c r="R271" s="13"/>
    </row>
    <row r="272" spans="2:18" ht="15.6" customHeight="1" x14ac:dyDescent="0.25">
      <c r="B272" s="13" t="s">
        <v>395</v>
      </c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4"/>
      <c r="R272" s="13"/>
    </row>
    <row r="273" spans="2:18" ht="15.6" customHeight="1" x14ac:dyDescent="0.25">
      <c r="B273" s="15">
        <v>1</v>
      </c>
      <c r="C273" s="10" t="s">
        <v>23</v>
      </c>
      <c r="D273" s="10" t="s">
        <v>325</v>
      </c>
      <c r="E273" s="10" t="s">
        <v>15</v>
      </c>
      <c r="F273" s="10" t="s">
        <v>8</v>
      </c>
      <c r="G273" s="13">
        <f>'Unit Price '!E21</f>
        <v>123300</v>
      </c>
      <c r="K273" s="13" t="s">
        <v>9</v>
      </c>
      <c r="L273" s="13" t="s">
        <v>8</v>
      </c>
      <c r="M273" s="13">
        <f>SUM(G273*B273)</f>
        <v>123300</v>
      </c>
      <c r="N273" s="13"/>
      <c r="O273" s="13"/>
      <c r="P273" s="13"/>
      <c r="Q273" s="14"/>
      <c r="R273" s="13"/>
    </row>
    <row r="274" spans="2:18" ht="15.6" customHeight="1" x14ac:dyDescent="0.25">
      <c r="B274" s="15">
        <v>4.68</v>
      </c>
      <c r="C274" s="10" t="s">
        <v>17</v>
      </c>
      <c r="D274" s="10" t="s">
        <v>43</v>
      </c>
      <c r="E274" s="10" t="s">
        <v>15</v>
      </c>
      <c r="F274" s="10" t="s">
        <v>8</v>
      </c>
      <c r="G274" s="13">
        <f>G261</f>
        <v>1918</v>
      </c>
      <c r="K274" s="13" t="s">
        <v>9</v>
      </c>
      <c r="L274" s="13" t="s">
        <v>8</v>
      </c>
      <c r="M274" s="13">
        <f>SUM(G274*B274)</f>
        <v>8976.24</v>
      </c>
      <c r="N274" s="13"/>
      <c r="O274" s="13"/>
      <c r="P274" s="13"/>
      <c r="Q274" s="14"/>
      <c r="R274" s="13"/>
    </row>
    <row r="275" spans="2:18" ht="15.6" customHeight="1" x14ac:dyDescent="0.25">
      <c r="B275" s="15">
        <v>1</v>
      </c>
      <c r="C275" s="10" t="s">
        <v>17</v>
      </c>
      <c r="D275" s="10" t="s">
        <v>47</v>
      </c>
      <c r="E275" s="10" t="s">
        <v>15</v>
      </c>
      <c r="F275" s="10" t="s">
        <v>8</v>
      </c>
      <c r="G275" s="13">
        <f>'Unit Price '!E8</f>
        <v>20550</v>
      </c>
      <c r="K275" s="13" t="s">
        <v>9</v>
      </c>
      <c r="L275" s="13" t="s">
        <v>8</v>
      </c>
      <c r="M275" s="13">
        <f>SUM(G275*B275)</f>
        <v>20550</v>
      </c>
      <c r="N275" s="13"/>
      <c r="O275" s="13"/>
      <c r="P275" s="13"/>
      <c r="Q275" s="14"/>
      <c r="R275" s="13"/>
    </row>
    <row r="276" spans="2:18" ht="15.6" customHeight="1" x14ac:dyDescent="0.25">
      <c r="B276" s="15">
        <v>8.9999999999999993E-3</v>
      </c>
      <c r="C276" s="10" t="s">
        <v>16</v>
      </c>
      <c r="D276" s="10" t="s">
        <v>303</v>
      </c>
      <c r="E276" s="10" t="s">
        <v>15</v>
      </c>
      <c r="F276" s="10" t="s">
        <v>8</v>
      </c>
      <c r="G276" s="13">
        <f>'Unit Price '!E12</f>
        <v>119875</v>
      </c>
      <c r="K276" s="13" t="s">
        <v>9</v>
      </c>
      <c r="L276" s="13" t="s">
        <v>8</v>
      </c>
      <c r="M276" s="13">
        <f>SUM(G276*B276)</f>
        <v>1078.875</v>
      </c>
      <c r="N276" s="13"/>
      <c r="O276" s="13"/>
      <c r="P276" s="13"/>
      <c r="Q276" s="14"/>
      <c r="R276" s="13"/>
    </row>
    <row r="277" spans="2:18" ht="15.6" customHeight="1" x14ac:dyDescent="0.25">
      <c r="B277" s="15">
        <v>0.5</v>
      </c>
      <c r="C277" s="10" t="s">
        <v>44</v>
      </c>
      <c r="D277" s="91" t="s">
        <v>294</v>
      </c>
      <c r="E277" s="10" t="s">
        <v>15</v>
      </c>
      <c r="F277" s="10" t="s">
        <v>8</v>
      </c>
      <c r="G277" s="13">
        <f>G264</f>
        <v>164400</v>
      </c>
      <c r="H277" s="13" t="s">
        <v>13</v>
      </c>
      <c r="I277" s="13" t="s">
        <v>8</v>
      </c>
      <c r="J277" s="13">
        <f>SUM(G277*B277)</f>
        <v>82200</v>
      </c>
      <c r="K277" s="13"/>
      <c r="L277" s="13"/>
      <c r="M277" s="13"/>
      <c r="N277" s="13"/>
      <c r="O277" s="13"/>
      <c r="P277" s="13"/>
      <c r="Q277" s="14"/>
      <c r="R277" s="13"/>
    </row>
    <row r="278" spans="2:18" ht="15.6" customHeight="1" x14ac:dyDescent="0.25">
      <c r="B278" s="15">
        <v>0.05</v>
      </c>
      <c r="C278" s="10" t="s">
        <v>44</v>
      </c>
      <c r="D278" s="91" t="s">
        <v>323</v>
      </c>
      <c r="E278" s="10" t="s">
        <v>15</v>
      </c>
      <c r="F278" s="10" t="s">
        <v>8</v>
      </c>
      <c r="G278" s="13">
        <f>G265</f>
        <v>178100</v>
      </c>
      <c r="H278" s="13" t="s">
        <v>13</v>
      </c>
      <c r="I278" s="13" t="s">
        <v>8</v>
      </c>
      <c r="J278" s="13">
        <f>SUM(G278*B278)</f>
        <v>8905</v>
      </c>
      <c r="K278" s="13"/>
      <c r="L278" s="13"/>
      <c r="M278" s="13"/>
      <c r="N278" s="13"/>
      <c r="O278" s="13"/>
      <c r="P278" s="13"/>
      <c r="Q278" s="14"/>
      <c r="R278" s="13"/>
    </row>
    <row r="279" spans="2:18" ht="15.6" customHeight="1" x14ac:dyDescent="0.25">
      <c r="B279" s="15">
        <v>0.5</v>
      </c>
      <c r="C279" s="10" t="s">
        <v>44</v>
      </c>
      <c r="D279" s="10" t="s">
        <v>230</v>
      </c>
      <c r="E279" s="10" t="s">
        <v>15</v>
      </c>
      <c r="F279" s="10" t="s">
        <v>8</v>
      </c>
      <c r="G279" s="13">
        <f>G266</f>
        <v>109600</v>
      </c>
      <c r="H279" s="13" t="s">
        <v>13</v>
      </c>
      <c r="I279" s="13" t="s">
        <v>8</v>
      </c>
      <c r="J279" s="13">
        <f>SUM(G279*B279)</f>
        <v>54800</v>
      </c>
      <c r="K279" s="13"/>
      <c r="L279" s="13"/>
      <c r="M279" s="13"/>
      <c r="N279" s="13"/>
      <c r="O279" s="13"/>
      <c r="P279" s="13"/>
      <c r="Q279" s="14"/>
      <c r="R279" s="13"/>
    </row>
    <row r="280" spans="2:18" ht="15.6" customHeight="1" x14ac:dyDescent="0.25">
      <c r="B280" s="15">
        <v>2.5000000000000001E-2</v>
      </c>
      <c r="C280" s="10" t="s">
        <v>44</v>
      </c>
      <c r="D280" s="381" t="s">
        <v>261</v>
      </c>
      <c r="E280" s="10" t="s">
        <v>15</v>
      </c>
      <c r="F280" s="10" t="s">
        <v>8</v>
      </c>
      <c r="G280" s="13">
        <f>G267</f>
        <v>178100</v>
      </c>
      <c r="H280" s="13" t="s">
        <v>13</v>
      </c>
      <c r="I280" s="13" t="s">
        <v>8</v>
      </c>
      <c r="J280" s="13">
        <f>SUM(G280*B280)</f>
        <v>4452.5</v>
      </c>
      <c r="K280" s="13"/>
      <c r="L280" s="13"/>
      <c r="M280" s="13"/>
      <c r="N280" s="13"/>
      <c r="O280" s="13"/>
      <c r="P280" s="13"/>
      <c r="Q280" s="14"/>
      <c r="R280" s="13"/>
    </row>
    <row r="281" spans="2:18" ht="15.6" customHeight="1" x14ac:dyDescent="0.25">
      <c r="B281" s="13"/>
      <c r="F281" s="13"/>
      <c r="G281" s="13" t="s">
        <v>228</v>
      </c>
      <c r="H281" s="13" t="s">
        <v>13</v>
      </c>
      <c r="I281" s="13" t="s">
        <v>8</v>
      </c>
      <c r="J281" s="13">
        <f>SUM(J277:J280)</f>
        <v>150357.5</v>
      </c>
      <c r="K281" s="13" t="s">
        <v>9</v>
      </c>
      <c r="L281" s="13" t="s">
        <v>8</v>
      </c>
      <c r="M281" s="13">
        <f>SUM(M273:M280)</f>
        <v>153905.11499999999</v>
      </c>
      <c r="N281" s="13" t="s">
        <v>13</v>
      </c>
      <c r="O281" s="13" t="s">
        <v>8</v>
      </c>
      <c r="P281" s="13">
        <f>SUM(M281+J281)</f>
        <v>304262.61499999999</v>
      </c>
      <c r="Q281" s="14"/>
      <c r="R281" s="13"/>
    </row>
    <row r="282" spans="2:18" ht="15.6" customHeight="1" x14ac:dyDescent="0.25">
      <c r="B282" s="13"/>
      <c r="G282" s="13" t="s">
        <v>228</v>
      </c>
      <c r="H282" s="13"/>
      <c r="I282" s="13"/>
      <c r="J282" s="13"/>
      <c r="K282" s="13"/>
      <c r="L282" s="13"/>
      <c r="M282" s="13"/>
      <c r="N282" s="13" t="s">
        <v>13</v>
      </c>
      <c r="O282" s="13" t="s">
        <v>8</v>
      </c>
      <c r="P282" s="13">
        <f>SUM(P281:P281)</f>
        <v>304262.61499999999</v>
      </c>
      <c r="Q282" s="14"/>
      <c r="R282" s="13"/>
    </row>
    <row r="283" spans="2:18" ht="15.6" customHeight="1" x14ac:dyDescent="0.25">
      <c r="B283" s="13"/>
      <c r="G283" s="13" t="s">
        <v>205</v>
      </c>
      <c r="H283" s="13"/>
      <c r="I283" s="13"/>
      <c r="J283" s="13"/>
      <c r="K283" s="13"/>
      <c r="L283" s="13"/>
      <c r="M283" s="13"/>
      <c r="N283" s="13" t="s">
        <v>13</v>
      </c>
      <c r="O283" s="13" t="s">
        <v>8</v>
      </c>
      <c r="P283" s="16">
        <f>INT(P282/1)*1</f>
        <v>304262</v>
      </c>
      <c r="Q283" s="14"/>
      <c r="R283" s="13"/>
    </row>
    <row r="284" spans="2:18" ht="15.6" customHeight="1" x14ac:dyDescent="0.25"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4"/>
      <c r="R284" s="13"/>
    </row>
    <row r="285" spans="2:18" ht="15.6" customHeight="1" x14ac:dyDescent="0.25">
      <c r="B285" s="13" t="s">
        <v>396</v>
      </c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4"/>
      <c r="R285" s="13"/>
    </row>
    <row r="286" spans="2:18" ht="15.6" customHeight="1" x14ac:dyDescent="0.25">
      <c r="B286" s="15">
        <v>0.1</v>
      </c>
      <c r="C286" s="10" t="s">
        <v>17</v>
      </c>
      <c r="D286" s="10" t="s">
        <v>326</v>
      </c>
      <c r="E286" s="10" t="s">
        <v>15</v>
      </c>
      <c r="F286" s="10" t="s">
        <v>8</v>
      </c>
      <c r="G286" s="13">
        <f>'Unit Price '!E27</f>
        <v>27400</v>
      </c>
      <c r="K286" s="13" t="s">
        <v>9</v>
      </c>
      <c r="L286" s="13" t="s">
        <v>8</v>
      </c>
      <c r="M286" s="13">
        <f>SUM(G286*B286)</f>
        <v>2740</v>
      </c>
      <c r="N286" s="13"/>
      <c r="O286" s="13"/>
      <c r="P286" s="13"/>
      <c r="Q286" s="14"/>
      <c r="R286" s="13"/>
    </row>
    <row r="287" spans="2:18" ht="15.6" customHeight="1" x14ac:dyDescent="0.25">
      <c r="B287" s="15">
        <v>1</v>
      </c>
      <c r="C287" s="10" t="s">
        <v>23</v>
      </c>
      <c r="D287" s="10" t="s">
        <v>327</v>
      </c>
      <c r="E287" s="10" t="s">
        <v>15</v>
      </c>
      <c r="F287" s="10" t="s">
        <v>8</v>
      </c>
      <c r="G287" s="13">
        <f>'Unit Price '!E33</f>
        <v>191800</v>
      </c>
      <c r="K287" s="13" t="s">
        <v>9</v>
      </c>
      <c r="L287" s="13" t="s">
        <v>8</v>
      </c>
      <c r="M287" s="13">
        <f>SUM(G287*B287)</f>
        <v>191800</v>
      </c>
      <c r="N287" s="13"/>
      <c r="O287" s="13"/>
      <c r="P287" s="13"/>
      <c r="Q287" s="14"/>
      <c r="R287" s="13"/>
    </row>
    <row r="288" spans="2:18" ht="15.6" customHeight="1" x14ac:dyDescent="0.25">
      <c r="B288" s="15">
        <v>0.14499999999999999</v>
      </c>
      <c r="C288" s="10" t="s">
        <v>44</v>
      </c>
      <c r="D288" s="382" t="s">
        <v>286</v>
      </c>
      <c r="E288" s="10" t="s">
        <v>15</v>
      </c>
      <c r="F288" s="10" t="s">
        <v>8</v>
      </c>
      <c r="G288" s="13">
        <f>'Unit Price '!E111</f>
        <v>164400</v>
      </c>
      <c r="H288" s="13" t="s">
        <v>13</v>
      </c>
      <c r="I288" s="13" t="s">
        <v>8</v>
      </c>
      <c r="J288" s="13">
        <f>SUM(G288*B288)</f>
        <v>23838</v>
      </c>
      <c r="K288" s="13"/>
      <c r="L288" s="13"/>
      <c r="M288" s="13"/>
      <c r="N288" s="13"/>
      <c r="O288" s="13"/>
      <c r="P288" s="13"/>
      <c r="Q288" s="14"/>
      <c r="R288" s="13"/>
    </row>
    <row r="289" spans="2:18" ht="15.6" customHeight="1" x14ac:dyDescent="0.25">
      <c r="B289" s="15">
        <v>1.4999999999999999E-2</v>
      </c>
      <c r="C289" s="10" t="s">
        <v>44</v>
      </c>
      <c r="D289" s="18" t="s">
        <v>287</v>
      </c>
      <c r="E289" s="10" t="s">
        <v>15</v>
      </c>
      <c r="F289" s="10" t="s">
        <v>8</v>
      </c>
      <c r="G289" s="13">
        <f>'Unit Price '!E110</f>
        <v>178100</v>
      </c>
      <c r="H289" s="13" t="s">
        <v>13</v>
      </c>
      <c r="I289" s="13" t="s">
        <v>8</v>
      </c>
      <c r="J289" s="13">
        <f>SUM(G289*B289)</f>
        <v>2671.5</v>
      </c>
      <c r="K289" s="13"/>
      <c r="L289" s="13"/>
      <c r="M289" s="13"/>
      <c r="N289" s="13"/>
      <c r="O289" s="13"/>
      <c r="P289" s="13"/>
      <c r="Q289" s="14"/>
      <c r="R289" s="13"/>
    </row>
    <row r="290" spans="2:18" ht="15.6" customHeight="1" x14ac:dyDescent="0.25">
      <c r="B290" s="15">
        <v>0.218</v>
      </c>
      <c r="C290" s="10" t="s">
        <v>44</v>
      </c>
      <c r="D290" s="10" t="s">
        <v>230</v>
      </c>
      <c r="E290" s="10" t="s">
        <v>15</v>
      </c>
      <c r="F290" s="10" t="s">
        <v>8</v>
      </c>
      <c r="G290" s="13">
        <f>'Unit Price '!E120</f>
        <v>109600</v>
      </c>
      <c r="H290" s="13" t="s">
        <v>13</v>
      </c>
      <c r="I290" s="13" t="s">
        <v>8</v>
      </c>
      <c r="J290" s="13">
        <f>SUM(G290*B290)</f>
        <v>23892.799999999999</v>
      </c>
      <c r="K290" s="13"/>
      <c r="L290" s="13"/>
      <c r="M290" s="13"/>
      <c r="N290" s="13"/>
      <c r="O290" s="13"/>
      <c r="P290" s="13"/>
      <c r="Q290" s="14"/>
      <c r="R290" s="13"/>
    </row>
    <row r="291" spans="2:18" ht="15.6" customHeight="1" x14ac:dyDescent="0.25">
      <c r="B291" s="15">
        <v>1.0999999999999999E-2</v>
      </c>
      <c r="C291" s="10" t="s">
        <v>44</v>
      </c>
      <c r="D291" s="380" t="s">
        <v>261</v>
      </c>
      <c r="E291" s="10" t="s">
        <v>15</v>
      </c>
      <c r="F291" s="10" t="s">
        <v>8</v>
      </c>
      <c r="G291" s="13">
        <f>'Unit Price '!E109</f>
        <v>178100</v>
      </c>
      <c r="H291" s="13" t="s">
        <v>13</v>
      </c>
      <c r="I291" s="13" t="s">
        <v>8</v>
      </c>
      <c r="J291" s="13">
        <f>SUM(G291*B291)</f>
        <v>1959.1</v>
      </c>
      <c r="K291" s="13"/>
      <c r="L291" s="13"/>
      <c r="M291" s="13"/>
      <c r="N291" s="13"/>
      <c r="O291" s="13"/>
      <c r="P291" s="13"/>
      <c r="Q291" s="14"/>
      <c r="R291" s="13"/>
    </row>
    <row r="292" spans="2:18" ht="15.6" customHeight="1" x14ac:dyDescent="0.25">
      <c r="B292" s="13"/>
      <c r="F292" s="13"/>
      <c r="G292" s="13" t="s">
        <v>228</v>
      </c>
      <c r="H292" s="13" t="s">
        <v>13</v>
      </c>
      <c r="I292" s="13" t="s">
        <v>8</v>
      </c>
      <c r="J292" s="13">
        <f>SUM(J288:J291)</f>
        <v>52361.4</v>
      </c>
      <c r="K292" s="13" t="s">
        <v>9</v>
      </c>
      <c r="L292" s="13" t="s">
        <v>8</v>
      </c>
      <c r="M292" s="13">
        <f>SUM(M286:M291)</f>
        <v>194540</v>
      </c>
      <c r="N292" s="13" t="s">
        <v>13</v>
      </c>
      <c r="O292" s="13" t="s">
        <v>8</v>
      </c>
      <c r="P292" s="13">
        <f>SUM(M292+J292)</f>
        <v>246901.4</v>
      </c>
      <c r="Q292" s="14"/>
      <c r="R292" s="13"/>
    </row>
    <row r="293" spans="2:18" ht="15.6" customHeight="1" x14ac:dyDescent="0.25">
      <c r="B293" s="13"/>
      <c r="G293" s="13" t="s">
        <v>228</v>
      </c>
      <c r="H293" s="13"/>
      <c r="I293" s="13"/>
      <c r="J293" s="13"/>
      <c r="K293" s="13"/>
      <c r="L293" s="13"/>
      <c r="M293" s="13"/>
      <c r="N293" s="13" t="s">
        <v>13</v>
      </c>
      <c r="O293" s="13" t="s">
        <v>8</v>
      </c>
      <c r="P293" s="13">
        <f>SUM(P292:P292)</f>
        <v>246901.4</v>
      </c>
      <c r="Q293" s="14"/>
      <c r="R293" s="13"/>
    </row>
    <row r="294" spans="2:18" ht="15.6" customHeight="1" x14ac:dyDescent="0.25">
      <c r="B294" s="13"/>
      <c r="G294" s="13" t="s">
        <v>205</v>
      </c>
      <c r="H294" s="13"/>
      <c r="I294" s="13"/>
      <c r="J294" s="13"/>
      <c r="K294" s="13"/>
      <c r="L294" s="13"/>
      <c r="M294" s="13"/>
      <c r="N294" s="13" t="s">
        <v>13</v>
      </c>
      <c r="O294" s="13" t="s">
        <v>8</v>
      </c>
      <c r="P294" s="16">
        <f>INT(P293/1)*1</f>
        <v>246901</v>
      </c>
      <c r="Q294" s="14"/>
      <c r="R294" s="13"/>
    </row>
    <row r="295" spans="2:18" ht="15.6" customHeight="1" x14ac:dyDescent="0.25"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4"/>
      <c r="R295" s="13"/>
    </row>
    <row r="296" spans="2:18" ht="15.6" customHeight="1" x14ac:dyDescent="0.25">
      <c r="B296" s="31" t="s">
        <v>397</v>
      </c>
      <c r="C296" s="31"/>
      <c r="D296" s="31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4"/>
      <c r="R296" s="13"/>
    </row>
    <row r="297" spans="2:18" ht="15.6" customHeight="1" x14ac:dyDescent="0.25">
      <c r="B297" s="88">
        <v>1.02</v>
      </c>
      <c r="C297" s="31" t="s">
        <v>23</v>
      </c>
      <c r="D297" s="211" t="s">
        <v>328</v>
      </c>
      <c r="E297" s="10" t="s">
        <v>15</v>
      </c>
      <c r="F297" s="10" t="s">
        <v>8</v>
      </c>
      <c r="G297" s="13">
        <f>'Unit Price '!E35</f>
        <v>109600</v>
      </c>
      <c r="K297" s="13" t="s">
        <v>9</v>
      </c>
      <c r="L297" s="13" t="s">
        <v>8</v>
      </c>
      <c r="M297" s="13">
        <f>SUM(G297*B297)</f>
        <v>111792</v>
      </c>
      <c r="N297" s="13"/>
      <c r="O297" s="13"/>
      <c r="P297" s="13"/>
      <c r="Q297" s="14"/>
      <c r="R297" s="13"/>
    </row>
    <row r="298" spans="2:18" ht="15.6" customHeight="1" x14ac:dyDescent="0.25">
      <c r="B298" s="88">
        <v>0.2</v>
      </c>
      <c r="C298" s="31" t="s">
        <v>17</v>
      </c>
      <c r="D298" s="211" t="s">
        <v>329</v>
      </c>
      <c r="E298" s="10" t="s">
        <v>15</v>
      </c>
      <c r="F298" s="10" t="s">
        <v>8</v>
      </c>
      <c r="G298" s="13">
        <f>'Unit Price '!E28</f>
        <v>47950</v>
      </c>
      <c r="K298" s="13" t="s">
        <v>9</v>
      </c>
      <c r="L298" s="13" t="s">
        <v>8</v>
      </c>
      <c r="M298" s="13">
        <f>SUM(G298*B298)</f>
        <v>9590</v>
      </c>
      <c r="N298" s="13"/>
      <c r="O298" s="13"/>
      <c r="P298" s="13"/>
      <c r="Q298" s="14"/>
      <c r="R298" s="13"/>
    </row>
    <row r="299" spans="2:18" ht="15.6" customHeight="1" x14ac:dyDescent="0.25">
      <c r="B299" s="88">
        <v>0.2</v>
      </c>
      <c r="C299" s="31" t="s">
        <v>93</v>
      </c>
      <c r="D299" s="10" t="s">
        <v>230</v>
      </c>
      <c r="E299" s="10" t="s">
        <v>15</v>
      </c>
      <c r="F299" s="10" t="s">
        <v>8</v>
      </c>
      <c r="G299" s="13">
        <f>G290</f>
        <v>109600</v>
      </c>
      <c r="H299" s="13" t="s">
        <v>13</v>
      </c>
      <c r="I299" s="13" t="s">
        <v>8</v>
      </c>
      <c r="J299" s="13">
        <f>SUM(G299*B299)</f>
        <v>21920</v>
      </c>
      <c r="K299" s="13"/>
      <c r="L299" s="13"/>
      <c r="M299" s="13"/>
      <c r="N299" s="13"/>
      <c r="O299" s="13"/>
      <c r="P299" s="13"/>
      <c r="Q299" s="14"/>
      <c r="R299" s="13"/>
    </row>
    <row r="300" spans="2:18" ht="15.6" customHeight="1" x14ac:dyDescent="0.25">
      <c r="B300" s="88">
        <v>0.1</v>
      </c>
      <c r="C300" s="31" t="s">
        <v>93</v>
      </c>
      <c r="D300" s="382" t="s">
        <v>286</v>
      </c>
      <c r="E300" s="10" t="s">
        <v>15</v>
      </c>
      <c r="F300" s="10" t="s">
        <v>8</v>
      </c>
      <c r="G300" s="13">
        <f>G288</f>
        <v>164400</v>
      </c>
      <c r="H300" s="13" t="s">
        <v>13</v>
      </c>
      <c r="I300" s="13" t="s">
        <v>8</v>
      </c>
      <c r="J300" s="13">
        <f>SUM(G300*B300)</f>
        <v>16440</v>
      </c>
      <c r="K300" s="13"/>
      <c r="L300" s="13"/>
      <c r="M300" s="13"/>
      <c r="N300" s="13"/>
      <c r="O300" s="13"/>
      <c r="P300" s="13"/>
      <c r="Q300" s="14"/>
      <c r="R300" s="13"/>
    </row>
    <row r="301" spans="2:18" ht="15.6" customHeight="1" x14ac:dyDescent="0.25">
      <c r="B301" s="88">
        <v>0.01</v>
      </c>
      <c r="C301" s="31" t="s">
        <v>93</v>
      </c>
      <c r="D301" s="18" t="s">
        <v>287</v>
      </c>
      <c r="E301" s="10" t="s">
        <v>15</v>
      </c>
      <c r="F301" s="10" t="s">
        <v>8</v>
      </c>
      <c r="G301" s="13">
        <f>G289</f>
        <v>178100</v>
      </c>
      <c r="H301" s="13" t="s">
        <v>13</v>
      </c>
      <c r="I301" s="13" t="s">
        <v>8</v>
      </c>
      <c r="J301" s="13">
        <f>SUM(G301*B301)</f>
        <v>1781</v>
      </c>
      <c r="K301" s="13"/>
      <c r="L301" s="13"/>
      <c r="M301" s="13"/>
      <c r="N301" s="13"/>
      <c r="O301" s="13"/>
      <c r="P301" s="13"/>
      <c r="Q301" s="14"/>
      <c r="R301" s="13"/>
    </row>
    <row r="302" spans="2:18" ht="15.6" customHeight="1" x14ac:dyDescent="0.25">
      <c r="B302" s="88">
        <v>1E-3</v>
      </c>
      <c r="C302" s="31" t="s">
        <v>93</v>
      </c>
      <c r="D302" s="31" t="s">
        <v>266</v>
      </c>
      <c r="E302" s="10" t="s">
        <v>15</v>
      </c>
      <c r="F302" s="10" t="s">
        <v>8</v>
      </c>
      <c r="G302" s="13">
        <f>G291</f>
        <v>178100</v>
      </c>
      <c r="H302" s="13" t="s">
        <v>13</v>
      </c>
      <c r="I302" s="13" t="s">
        <v>8</v>
      </c>
      <c r="J302" s="13">
        <f>SUM(G302*B302)</f>
        <v>178.1</v>
      </c>
      <c r="K302" s="13"/>
      <c r="L302" s="13"/>
      <c r="M302" s="13"/>
      <c r="N302" s="13"/>
      <c r="O302" s="13"/>
      <c r="P302" s="13"/>
      <c r="Q302" s="14"/>
      <c r="R302" s="13"/>
    </row>
    <row r="303" spans="2:18" ht="15.6" customHeight="1" x14ac:dyDescent="0.25">
      <c r="F303" s="13"/>
      <c r="G303" s="13" t="s">
        <v>228</v>
      </c>
      <c r="H303" s="13" t="s">
        <v>13</v>
      </c>
      <c r="I303" s="13" t="s">
        <v>8</v>
      </c>
      <c r="J303" s="13">
        <f>SUM(J299:J302)</f>
        <v>40319.1</v>
      </c>
      <c r="K303" s="13" t="s">
        <v>9</v>
      </c>
      <c r="L303" s="13" t="s">
        <v>8</v>
      </c>
      <c r="M303" s="13">
        <f>SUM(M296:M301)</f>
        <v>121382</v>
      </c>
      <c r="N303" s="13" t="s">
        <v>13</v>
      </c>
      <c r="O303" s="13" t="s">
        <v>8</v>
      </c>
      <c r="P303" s="13">
        <f>SUM(M303+J303)</f>
        <v>161701.1</v>
      </c>
      <c r="Q303" s="14"/>
      <c r="R303" s="13"/>
    </row>
    <row r="304" spans="2:18" ht="15.6" customHeight="1" x14ac:dyDescent="0.25">
      <c r="G304" s="13" t="s">
        <v>228</v>
      </c>
      <c r="H304" s="13"/>
      <c r="I304" s="13"/>
      <c r="J304" s="13"/>
      <c r="K304" s="13"/>
      <c r="L304" s="13"/>
      <c r="M304" s="13"/>
      <c r="N304" s="13" t="s">
        <v>13</v>
      </c>
      <c r="O304" s="13" t="s">
        <v>8</v>
      </c>
      <c r="P304" s="13">
        <f>SUM(P303:P303)</f>
        <v>161701.1</v>
      </c>
      <c r="Q304" s="14"/>
      <c r="R304" s="13"/>
    </row>
    <row r="305" spans="2:18" ht="15.6" customHeight="1" x14ac:dyDescent="0.25">
      <c r="G305" s="13" t="s">
        <v>205</v>
      </c>
      <c r="H305" s="13"/>
      <c r="I305" s="13"/>
      <c r="J305" s="13"/>
      <c r="K305" s="13"/>
      <c r="L305" s="13"/>
      <c r="M305" s="13"/>
      <c r="N305" s="13" t="s">
        <v>13</v>
      </c>
      <c r="O305" s="13" t="s">
        <v>8</v>
      </c>
      <c r="P305" s="16">
        <f>INT(P304/1)*1</f>
        <v>161701</v>
      </c>
      <c r="Q305" s="14"/>
      <c r="R305" s="13"/>
    </row>
    <row r="306" spans="2:18" ht="15.6" customHeight="1" x14ac:dyDescent="0.25"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4"/>
      <c r="R306" s="13"/>
    </row>
    <row r="307" spans="2:18" ht="15.6" customHeight="1" x14ac:dyDescent="0.25">
      <c r="B307" s="392" t="s">
        <v>398</v>
      </c>
      <c r="C307" s="31"/>
      <c r="D307" s="31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4"/>
      <c r="R307" s="13"/>
    </row>
    <row r="308" spans="2:18" ht="15.6" customHeight="1" x14ac:dyDescent="0.25">
      <c r="B308" s="88">
        <v>1.1000000000000001</v>
      </c>
      <c r="C308" s="31" t="s">
        <v>71</v>
      </c>
      <c r="D308" s="91" t="s">
        <v>330</v>
      </c>
      <c r="E308" s="10" t="s">
        <v>15</v>
      </c>
      <c r="F308" s="10" t="s">
        <v>8</v>
      </c>
      <c r="G308" s="13">
        <f>'Unit Price '!E36</f>
        <v>41100</v>
      </c>
      <c r="K308" s="13" t="s">
        <v>9</v>
      </c>
      <c r="L308" s="13" t="s">
        <v>8</v>
      </c>
      <c r="M308" s="13">
        <f>SUM(G308*B308)</f>
        <v>45210.000000000007</v>
      </c>
      <c r="N308" s="13"/>
      <c r="O308" s="13"/>
      <c r="P308" s="13"/>
      <c r="Q308" s="14"/>
      <c r="R308" s="13"/>
    </row>
    <row r="309" spans="2:18" ht="15.6" customHeight="1" x14ac:dyDescent="0.25">
      <c r="B309" s="88">
        <v>0.05</v>
      </c>
      <c r="C309" s="31" t="s">
        <v>17</v>
      </c>
      <c r="D309" s="211" t="s">
        <v>329</v>
      </c>
      <c r="E309" s="10" t="s">
        <v>15</v>
      </c>
      <c r="F309" s="10" t="s">
        <v>8</v>
      </c>
      <c r="G309" s="13">
        <f>'Unit Price '!E28</f>
        <v>47950</v>
      </c>
      <c r="K309" s="13" t="s">
        <v>9</v>
      </c>
      <c r="L309" s="13" t="s">
        <v>8</v>
      </c>
      <c r="M309" s="13">
        <f>SUM(G309*B309)</f>
        <v>2397.5</v>
      </c>
      <c r="N309" s="13"/>
      <c r="O309" s="13"/>
      <c r="P309" s="13"/>
      <c r="Q309" s="14"/>
      <c r="R309" s="13"/>
    </row>
    <row r="310" spans="2:18" ht="15.6" customHeight="1" x14ac:dyDescent="0.25">
      <c r="B310" s="88">
        <v>0.25</v>
      </c>
      <c r="C310" s="31" t="s">
        <v>93</v>
      </c>
      <c r="D310" s="10" t="s">
        <v>230</v>
      </c>
      <c r="E310" s="10" t="s">
        <v>15</v>
      </c>
      <c r="F310" s="10" t="s">
        <v>8</v>
      </c>
      <c r="G310" s="13">
        <f>G299</f>
        <v>109600</v>
      </c>
      <c r="H310" s="13" t="s">
        <v>13</v>
      </c>
      <c r="I310" s="13" t="s">
        <v>8</v>
      </c>
      <c r="J310" s="13">
        <f>SUM(G310*B310)</f>
        <v>27400</v>
      </c>
      <c r="K310" s="13"/>
      <c r="L310" s="13"/>
      <c r="M310" s="13"/>
      <c r="N310" s="13"/>
      <c r="O310" s="13"/>
      <c r="P310" s="13"/>
      <c r="Q310" s="14"/>
      <c r="R310" s="13"/>
    </row>
    <row r="311" spans="2:18" ht="15.6" customHeight="1" x14ac:dyDescent="0.25">
      <c r="B311" s="88">
        <v>0.15</v>
      </c>
      <c r="C311" s="31" t="s">
        <v>93</v>
      </c>
      <c r="D311" s="382" t="s">
        <v>286</v>
      </c>
      <c r="E311" s="10" t="s">
        <v>15</v>
      </c>
      <c r="F311" s="10" t="s">
        <v>8</v>
      </c>
      <c r="G311" s="13">
        <f>G300</f>
        <v>164400</v>
      </c>
      <c r="H311" s="13" t="s">
        <v>13</v>
      </c>
      <c r="I311" s="13" t="s">
        <v>8</v>
      </c>
      <c r="J311" s="13">
        <f>SUM(G311*B311)</f>
        <v>24660</v>
      </c>
      <c r="K311" s="13"/>
      <c r="L311" s="13"/>
      <c r="M311" s="13"/>
      <c r="N311" s="13"/>
      <c r="O311" s="13"/>
      <c r="P311" s="13"/>
      <c r="Q311" s="14"/>
      <c r="R311" s="13"/>
    </row>
    <row r="312" spans="2:18" ht="15.6" customHeight="1" x14ac:dyDescent="0.25">
      <c r="B312" s="88">
        <v>1.4999999999999999E-2</v>
      </c>
      <c r="C312" s="31" t="s">
        <v>93</v>
      </c>
      <c r="D312" s="18" t="s">
        <v>287</v>
      </c>
      <c r="E312" s="10" t="s">
        <v>15</v>
      </c>
      <c r="F312" s="10" t="s">
        <v>8</v>
      </c>
      <c r="G312" s="13">
        <f>G301</f>
        <v>178100</v>
      </c>
      <c r="H312" s="13" t="s">
        <v>13</v>
      </c>
      <c r="I312" s="13" t="s">
        <v>8</v>
      </c>
      <c r="J312" s="13">
        <f>SUM(G312*B312)</f>
        <v>2671.5</v>
      </c>
      <c r="K312" s="13"/>
      <c r="L312" s="13"/>
      <c r="M312" s="13"/>
      <c r="N312" s="13"/>
      <c r="O312" s="13"/>
      <c r="P312" s="13"/>
      <c r="Q312" s="14"/>
      <c r="R312" s="13"/>
    </row>
    <row r="313" spans="2:18" ht="15.6" customHeight="1" x14ac:dyDescent="0.25">
      <c r="B313" s="88">
        <v>1.2999999999999999E-2</v>
      </c>
      <c r="C313" s="31" t="s">
        <v>93</v>
      </c>
      <c r="D313" s="31" t="s">
        <v>266</v>
      </c>
      <c r="E313" s="10" t="s">
        <v>15</v>
      </c>
      <c r="F313" s="10" t="s">
        <v>8</v>
      </c>
      <c r="G313" s="13">
        <f>G302</f>
        <v>178100</v>
      </c>
      <c r="H313" s="13" t="s">
        <v>13</v>
      </c>
      <c r="I313" s="13" t="s">
        <v>8</v>
      </c>
      <c r="J313" s="13">
        <f>SUM(G313*B313)</f>
        <v>2315.2999999999997</v>
      </c>
      <c r="K313" s="13"/>
      <c r="L313" s="13"/>
      <c r="M313" s="13"/>
      <c r="N313" s="13"/>
      <c r="O313" s="13"/>
      <c r="P313" s="13"/>
      <c r="Q313" s="14"/>
      <c r="R313" s="13"/>
    </row>
    <row r="314" spans="2:18" ht="15.6" customHeight="1" x14ac:dyDescent="0.25">
      <c r="F314" s="13"/>
      <c r="G314" s="13" t="s">
        <v>228</v>
      </c>
      <c r="H314" s="13" t="s">
        <v>13</v>
      </c>
      <c r="I314" s="13" t="s">
        <v>8</v>
      </c>
      <c r="J314" s="13">
        <f>SUM(J310:J313)</f>
        <v>57046.8</v>
      </c>
      <c r="K314" s="13" t="s">
        <v>9</v>
      </c>
      <c r="L314" s="13" t="s">
        <v>8</v>
      </c>
      <c r="M314" s="13">
        <f>SUM(M308:M313)</f>
        <v>47607.500000000007</v>
      </c>
      <c r="N314" s="13" t="s">
        <v>13</v>
      </c>
      <c r="O314" s="13" t="s">
        <v>8</v>
      </c>
      <c r="P314" s="13">
        <f>SUM(M314+J314)</f>
        <v>104654.30000000002</v>
      </c>
      <c r="Q314" s="14"/>
      <c r="R314" s="13"/>
    </row>
    <row r="315" spans="2:18" ht="15.6" customHeight="1" x14ac:dyDescent="0.25">
      <c r="G315" s="13" t="s">
        <v>228</v>
      </c>
      <c r="H315" s="13"/>
      <c r="I315" s="13"/>
      <c r="J315" s="13"/>
      <c r="K315" s="13"/>
      <c r="L315" s="13"/>
      <c r="M315" s="13"/>
      <c r="N315" s="13" t="s">
        <v>13</v>
      </c>
      <c r="O315" s="13" t="s">
        <v>8</v>
      </c>
      <c r="P315" s="13">
        <f>SUM(P314:P314)</f>
        <v>104654.30000000002</v>
      </c>
      <c r="Q315" s="14"/>
      <c r="R315" s="13"/>
    </row>
    <row r="316" spans="2:18" ht="15.6" customHeight="1" x14ac:dyDescent="0.25">
      <c r="G316" s="13" t="s">
        <v>205</v>
      </c>
      <c r="H316" s="13"/>
      <c r="I316" s="13"/>
      <c r="J316" s="13"/>
      <c r="K316" s="13"/>
      <c r="L316" s="13"/>
      <c r="M316" s="13"/>
      <c r="N316" s="13" t="s">
        <v>13</v>
      </c>
      <c r="O316" s="13" t="s">
        <v>8</v>
      </c>
      <c r="P316" s="16">
        <f>INT(P315/1)*1</f>
        <v>104654</v>
      </c>
      <c r="Q316" s="14"/>
      <c r="R316" s="13"/>
    </row>
    <row r="317" spans="2:18" ht="15.6" customHeight="1" x14ac:dyDescent="0.25"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4"/>
      <c r="R317" s="13"/>
    </row>
    <row r="318" spans="2:18" ht="15.6" customHeight="1" x14ac:dyDescent="0.25"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4"/>
      <c r="R318" s="13"/>
    </row>
    <row r="319" spans="2:18" ht="15.6" customHeight="1" x14ac:dyDescent="0.25"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4"/>
      <c r="R319" s="13"/>
    </row>
    <row r="320" spans="2:18" ht="15.6" customHeight="1" x14ac:dyDescent="0.25">
      <c r="B320" s="91" t="s">
        <v>399</v>
      </c>
      <c r="D320" s="91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4"/>
      <c r="R320" s="13"/>
    </row>
    <row r="321" spans="2:18" ht="15.6" customHeight="1" x14ac:dyDescent="0.25">
      <c r="B321" s="208">
        <v>0.36399999999999999</v>
      </c>
      <c r="C321" s="209" t="s">
        <v>76</v>
      </c>
      <c r="D321" s="91" t="s">
        <v>128</v>
      </c>
      <c r="E321" s="10" t="s">
        <v>15</v>
      </c>
      <c r="F321" s="10" t="s">
        <v>8</v>
      </c>
      <c r="G321" s="13">
        <f>'Unit Price '!E52</f>
        <v>92475</v>
      </c>
      <c r="K321" s="13" t="s">
        <v>9</v>
      </c>
      <c r="L321" s="13" t="s">
        <v>8</v>
      </c>
      <c r="M321" s="13">
        <f>SUM(G321*B321)</f>
        <v>33660.9</v>
      </c>
      <c r="N321" s="13"/>
      <c r="O321" s="13"/>
      <c r="P321" s="13"/>
      <c r="Q321" s="14"/>
      <c r="R321" s="13"/>
    </row>
    <row r="322" spans="2:18" ht="15.6" customHeight="1" x14ac:dyDescent="0.25">
      <c r="B322" s="208">
        <v>0.11</v>
      </c>
      <c r="C322" s="209" t="s">
        <v>58</v>
      </c>
      <c r="D322" s="91" t="s">
        <v>331</v>
      </c>
      <c r="E322" s="10" t="s">
        <v>15</v>
      </c>
      <c r="F322" s="10" t="s">
        <v>8</v>
      </c>
      <c r="G322" s="13">
        <f>'Unit Price '!E28</f>
        <v>47950</v>
      </c>
      <c r="K322" s="13" t="s">
        <v>9</v>
      </c>
      <c r="L322" s="13" t="s">
        <v>8</v>
      </c>
      <c r="M322" s="13">
        <f>SUM(G322*B322)</f>
        <v>5274.5</v>
      </c>
      <c r="N322" s="13"/>
      <c r="O322" s="13"/>
      <c r="P322" s="13"/>
      <c r="Q322" s="14"/>
      <c r="R322" s="13"/>
    </row>
    <row r="323" spans="2:18" ht="15.6" customHeight="1" x14ac:dyDescent="0.25">
      <c r="B323" s="208">
        <v>0.05</v>
      </c>
      <c r="C323" s="209" t="s">
        <v>72</v>
      </c>
      <c r="D323" s="382" t="s">
        <v>286</v>
      </c>
      <c r="E323" s="10" t="s">
        <v>15</v>
      </c>
      <c r="F323" s="10" t="s">
        <v>8</v>
      </c>
      <c r="G323" s="13">
        <f>G311</f>
        <v>164400</v>
      </c>
      <c r="H323" s="13" t="s">
        <v>13</v>
      </c>
      <c r="I323" s="13" t="s">
        <v>8</v>
      </c>
      <c r="J323" s="13">
        <f>SUM(G323*B323)</f>
        <v>8220</v>
      </c>
      <c r="K323" s="13"/>
      <c r="L323" s="13"/>
      <c r="M323" s="13"/>
      <c r="N323" s="13"/>
      <c r="O323" s="13"/>
      <c r="P323" s="13"/>
      <c r="Q323" s="14"/>
      <c r="R323" s="13"/>
    </row>
    <row r="324" spans="2:18" ht="15.6" customHeight="1" x14ac:dyDescent="0.25">
      <c r="B324" s="208">
        <v>5.0000000000000001E-3</v>
      </c>
      <c r="C324" s="209" t="s">
        <v>72</v>
      </c>
      <c r="D324" s="18" t="s">
        <v>287</v>
      </c>
      <c r="E324" s="10" t="s">
        <v>15</v>
      </c>
      <c r="F324" s="10" t="s">
        <v>8</v>
      </c>
      <c r="G324" s="13">
        <f>G312</f>
        <v>178100</v>
      </c>
      <c r="H324" s="13" t="s">
        <v>13</v>
      </c>
      <c r="I324" s="13" t="s">
        <v>8</v>
      </c>
      <c r="J324" s="13">
        <f>SUM(G324*B324)</f>
        <v>890.5</v>
      </c>
      <c r="K324" s="13"/>
      <c r="L324" s="13"/>
      <c r="M324" s="13"/>
      <c r="N324" s="13"/>
      <c r="O324" s="13"/>
      <c r="P324" s="13"/>
      <c r="Q324" s="14"/>
      <c r="R324" s="13"/>
    </row>
    <row r="325" spans="2:18" ht="15.6" customHeight="1" x14ac:dyDescent="0.25">
      <c r="B325" s="208">
        <v>0.1</v>
      </c>
      <c r="C325" s="209" t="s">
        <v>72</v>
      </c>
      <c r="D325" s="10" t="s">
        <v>230</v>
      </c>
      <c r="E325" s="10" t="s">
        <v>15</v>
      </c>
      <c r="F325" s="10" t="s">
        <v>8</v>
      </c>
      <c r="G325" s="13">
        <f>G310</f>
        <v>109600</v>
      </c>
      <c r="H325" s="13" t="s">
        <v>13</v>
      </c>
      <c r="I325" s="13" t="s">
        <v>8</v>
      </c>
      <c r="J325" s="13">
        <f>SUM(G325*B325)</f>
        <v>10960</v>
      </c>
      <c r="K325" s="13"/>
      <c r="L325" s="13"/>
      <c r="M325" s="13"/>
      <c r="N325" s="13"/>
      <c r="O325" s="13"/>
      <c r="P325" s="13"/>
      <c r="Q325" s="14"/>
      <c r="R325" s="13"/>
    </row>
    <row r="326" spans="2:18" ht="15.6" customHeight="1" x14ac:dyDescent="0.25">
      <c r="B326" s="208">
        <v>5.0000000000000001E-3</v>
      </c>
      <c r="C326" s="209" t="s">
        <v>72</v>
      </c>
      <c r="D326" s="381" t="s">
        <v>261</v>
      </c>
      <c r="E326" s="10" t="s">
        <v>15</v>
      </c>
      <c r="F326" s="10" t="s">
        <v>8</v>
      </c>
      <c r="G326" s="13">
        <f>G313</f>
        <v>178100</v>
      </c>
      <c r="H326" s="13" t="s">
        <v>13</v>
      </c>
      <c r="I326" s="13" t="s">
        <v>8</v>
      </c>
      <c r="J326" s="13">
        <f>SUM(J323:J325)</f>
        <v>20070.5</v>
      </c>
      <c r="K326" s="13"/>
      <c r="L326" s="13"/>
      <c r="M326" s="13"/>
      <c r="N326" s="13"/>
      <c r="O326" s="13"/>
      <c r="P326" s="13"/>
      <c r="Q326" s="14"/>
      <c r="R326" s="13"/>
    </row>
    <row r="327" spans="2:18" ht="15.6" customHeight="1" x14ac:dyDescent="0.25">
      <c r="F327" s="13"/>
      <c r="G327" s="13" t="s">
        <v>228</v>
      </c>
      <c r="H327" s="13" t="s">
        <v>13</v>
      </c>
      <c r="I327" s="13" t="s">
        <v>8</v>
      </c>
      <c r="J327" s="13">
        <f>SUM(J323:J326)</f>
        <v>40141</v>
      </c>
      <c r="K327" s="13" t="s">
        <v>9</v>
      </c>
      <c r="L327" s="13" t="s">
        <v>8</v>
      </c>
      <c r="M327" s="13">
        <f>SUM(M321:M326)</f>
        <v>38935.4</v>
      </c>
      <c r="N327" s="13" t="s">
        <v>13</v>
      </c>
      <c r="O327" s="13" t="s">
        <v>8</v>
      </c>
      <c r="P327" s="13">
        <f>SUM(M327+J327)</f>
        <v>79076.399999999994</v>
      </c>
      <c r="Q327" s="14"/>
      <c r="R327" s="13"/>
    </row>
    <row r="328" spans="2:18" ht="15.6" customHeight="1" x14ac:dyDescent="0.25">
      <c r="G328" s="13" t="s">
        <v>228</v>
      </c>
      <c r="H328" s="13"/>
      <c r="I328" s="13"/>
      <c r="J328" s="13"/>
      <c r="K328" s="13"/>
      <c r="L328" s="13"/>
      <c r="M328" s="13"/>
      <c r="N328" s="13" t="s">
        <v>13</v>
      </c>
      <c r="O328" s="13" t="s">
        <v>8</v>
      </c>
      <c r="P328" s="13">
        <f>SUM(P327:P327)</f>
        <v>79076.399999999994</v>
      </c>
      <c r="Q328" s="14"/>
      <c r="R328" s="13"/>
    </row>
    <row r="329" spans="2:18" ht="15.6" customHeight="1" x14ac:dyDescent="0.25">
      <c r="G329" s="13" t="s">
        <v>205</v>
      </c>
      <c r="H329" s="13"/>
      <c r="I329" s="13"/>
      <c r="J329" s="13"/>
      <c r="K329" s="13"/>
      <c r="L329" s="13"/>
      <c r="M329" s="13"/>
      <c r="N329" s="13" t="s">
        <v>13</v>
      </c>
      <c r="O329" s="13" t="s">
        <v>8</v>
      </c>
      <c r="P329" s="16">
        <f>INT(P328/1)*1</f>
        <v>79076</v>
      </c>
      <c r="Q329" s="14"/>
      <c r="R329" s="13"/>
    </row>
    <row r="330" spans="2:18" ht="15.6" customHeight="1" x14ac:dyDescent="0.25"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4"/>
      <c r="R330" s="13"/>
    </row>
    <row r="331" spans="2:18" ht="15.6" customHeight="1" x14ac:dyDescent="0.25"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4"/>
      <c r="R331" s="13"/>
    </row>
    <row r="332" spans="2:18" ht="15.6" customHeight="1" x14ac:dyDescent="0.25">
      <c r="B332" s="91" t="s">
        <v>400</v>
      </c>
      <c r="D332" s="214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4"/>
      <c r="R332" s="13"/>
    </row>
    <row r="333" spans="2:18" ht="15.6" customHeight="1" x14ac:dyDescent="0.25">
      <c r="B333" s="215">
        <v>4.5</v>
      </c>
      <c r="C333" s="209" t="s">
        <v>129</v>
      </c>
      <c r="D333" s="91" t="s">
        <v>332</v>
      </c>
      <c r="E333" s="10" t="s">
        <v>15</v>
      </c>
      <c r="F333" s="10" t="s">
        <v>8</v>
      </c>
      <c r="G333" s="13">
        <f>'Unit Price '!E37</f>
        <v>9247.5</v>
      </c>
      <c r="K333" s="13" t="s">
        <v>9</v>
      </c>
      <c r="L333" s="13" t="s">
        <v>8</v>
      </c>
      <c r="M333" s="13">
        <f>SUM(G333*B333)</f>
        <v>41613.75</v>
      </c>
      <c r="N333" s="13"/>
      <c r="O333" s="13"/>
      <c r="P333" s="13"/>
      <c r="Q333" s="14"/>
      <c r="R333" s="13"/>
    </row>
    <row r="334" spans="2:18" ht="15.6" customHeight="1" x14ac:dyDescent="0.25">
      <c r="B334" s="208">
        <v>0.04</v>
      </c>
      <c r="C334" s="209" t="s">
        <v>58</v>
      </c>
      <c r="D334" s="91" t="s">
        <v>331</v>
      </c>
      <c r="E334" s="10" t="s">
        <v>15</v>
      </c>
      <c r="F334" s="10" t="s">
        <v>8</v>
      </c>
      <c r="G334" s="13">
        <f>'Unit Price '!E28</f>
        <v>47950</v>
      </c>
      <c r="K334" s="13" t="s">
        <v>9</v>
      </c>
      <c r="L334" s="13" t="s">
        <v>8</v>
      </c>
      <c r="M334" s="13">
        <f>SUM(G334*B334)</f>
        <v>1918</v>
      </c>
      <c r="N334" s="13"/>
      <c r="O334" s="13"/>
      <c r="P334" s="13"/>
      <c r="Q334" s="14"/>
      <c r="R334" s="13"/>
    </row>
    <row r="335" spans="2:18" ht="15.6" customHeight="1" x14ac:dyDescent="0.25">
      <c r="B335" s="208">
        <v>5</v>
      </c>
      <c r="C335" s="209" t="s">
        <v>129</v>
      </c>
      <c r="D335" s="91" t="s">
        <v>333</v>
      </c>
      <c r="E335" s="10" t="s">
        <v>15</v>
      </c>
      <c r="F335" s="10" t="s">
        <v>8</v>
      </c>
      <c r="G335" s="13">
        <f>'Unit Price '!E38</f>
        <v>959</v>
      </c>
      <c r="K335" s="13" t="s">
        <v>9</v>
      </c>
      <c r="L335" s="13" t="s">
        <v>8</v>
      </c>
      <c r="M335" s="13">
        <f>SUM(G335*B335)</f>
        <v>4795</v>
      </c>
      <c r="N335" s="13"/>
      <c r="O335" s="13"/>
      <c r="P335" s="13"/>
      <c r="Q335" s="14"/>
      <c r="R335" s="13"/>
    </row>
    <row r="336" spans="2:18" ht="15.6" customHeight="1" x14ac:dyDescent="0.25">
      <c r="B336" s="208">
        <v>0.32</v>
      </c>
      <c r="C336" s="209" t="s">
        <v>72</v>
      </c>
      <c r="D336" s="382" t="s">
        <v>286</v>
      </c>
      <c r="E336" s="10" t="s">
        <v>15</v>
      </c>
      <c r="F336" s="10" t="s">
        <v>8</v>
      </c>
      <c r="G336" s="13">
        <f>G323</f>
        <v>164400</v>
      </c>
      <c r="H336" s="13" t="s">
        <v>13</v>
      </c>
      <c r="I336" s="13" t="s">
        <v>8</v>
      </c>
      <c r="J336" s="13">
        <f>SUM(G336*B336)</f>
        <v>52608</v>
      </c>
      <c r="K336" s="13"/>
      <c r="L336" s="13"/>
      <c r="M336" s="13"/>
      <c r="N336" s="13"/>
      <c r="O336" s="13"/>
      <c r="P336" s="13"/>
      <c r="Q336" s="14"/>
      <c r="R336" s="13"/>
    </row>
    <row r="337" spans="2:18" ht="15.6" customHeight="1" x14ac:dyDescent="0.25">
      <c r="B337" s="208">
        <v>3.2000000000000001E-2</v>
      </c>
      <c r="C337" s="209" t="s">
        <v>72</v>
      </c>
      <c r="D337" s="18" t="s">
        <v>287</v>
      </c>
      <c r="E337" s="10" t="s">
        <v>15</v>
      </c>
      <c r="F337" s="10" t="s">
        <v>8</v>
      </c>
      <c r="G337" s="13">
        <f>G324</f>
        <v>178100</v>
      </c>
      <c r="H337" s="13" t="s">
        <v>13</v>
      </c>
      <c r="I337" s="13" t="s">
        <v>8</v>
      </c>
      <c r="J337" s="13">
        <f>SUM(G337*B337)</f>
        <v>5699.2</v>
      </c>
      <c r="K337" s="13"/>
      <c r="L337" s="13"/>
      <c r="M337" s="13"/>
      <c r="N337" s="13"/>
      <c r="O337" s="13"/>
      <c r="P337" s="13"/>
      <c r="Q337" s="14"/>
      <c r="R337" s="13"/>
    </row>
    <row r="338" spans="2:18" ht="15.6" customHeight="1" x14ac:dyDescent="0.25">
      <c r="B338" s="208">
        <v>0.14000000000000001</v>
      </c>
      <c r="C338" s="209" t="s">
        <v>72</v>
      </c>
      <c r="D338" s="10" t="s">
        <v>230</v>
      </c>
      <c r="E338" s="10" t="s">
        <v>15</v>
      </c>
      <c r="F338" s="10" t="s">
        <v>8</v>
      </c>
      <c r="G338" s="13">
        <f>G325</f>
        <v>109600</v>
      </c>
      <c r="H338" s="13" t="s">
        <v>13</v>
      </c>
      <c r="I338" s="13" t="s">
        <v>8</v>
      </c>
      <c r="J338" s="13">
        <f>SUM(G338*B338)</f>
        <v>15344.000000000002</v>
      </c>
      <c r="K338" s="13"/>
      <c r="L338" s="13"/>
      <c r="M338" s="13"/>
      <c r="N338" s="13"/>
      <c r="O338" s="13"/>
      <c r="P338" s="13"/>
      <c r="Q338" s="14"/>
      <c r="R338" s="13"/>
    </row>
    <row r="339" spans="2:18" ht="15.6" customHeight="1" x14ac:dyDescent="0.25">
      <c r="B339" s="208">
        <v>7.0000000000000001E-3</v>
      </c>
      <c r="C339" s="209" t="s">
        <v>72</v>
      </c>
      <c r="D339" s="381" t="s">
        <v>261</v>
      </c>
      <c r="E339" s="10" t="s">
        <v>15</v>
      </c>
      <c r="F339" s="10" t="s">
        <v>8</v>
      </c>
      <c r="G339" s="13">
        <f>G326</f>
        <v>178100</v>
      </c>
      <c r="H339" s="13" t="s">
        <v>13</v>
      </c>
      <c r="I339" s="13" t="s">
        <v>8</v>
      </c>
      <c r="J339" s="13">
        <f>SUM(J336:J338)</f>
        <v>73651.199999999997</v>
      </c>
      <c r="K339" s="13"/>
      <c r="L339" s="13"/>
      <c r="M339" s="13"/>
      <c r="N339" s="13"/>
      <c r="O339" s="13"/>
      <c r="P339" s="13"/>
      <c r="Q339" s="14"/>
      <c r="R339" s="13"/>
    </row>
    <row r="340" spans="2:18" ht="15.6" customHeight="1" x14ac:dyDescent="0.25">
      <c r="F340" s="13"/>
      <c r="G340" s="13" t="s">
        <v>228</v>
      </c>
      <c r="H340" s="13" t="s">
        <v>13</v>
      </c>
      <c r="I340" s="13" t="s">
        <v>8</v>
      </c>
      <c r="J340" s="13">
        <f>SUM(J336:J339)</f>
        <v>147302.39999999999</v>
      </c>
      <c r="K340" s="13" t="s">
        <v>9</v>
      </c>
      <c r="L340" s="13" t="s">
        <v>8</v>
      </c>
      <c r="M340" s="13">
        <f>SUM(M333:M339)</f>
        <v>48326.75</v>
      </c>
      <c r="N340" s="13" t="s">
        <v>13</v>
      </c>
      <c r="O340" s="13" t="s">
        <v>8</v>
      </c>
      <c r="P340" s="13">
        <f>SUM(M340+J340)</f>
        <v>195629.15</v>
      </c>
      <c r="Q340" s="14"/>
      <c r="R340" s="13"/>
    </row>
    <row r="341" spans="2:18" ht="15.6" customHeight="1" x14ac:dyDescent="0.25">
      <c r="G341" s="13" t="s">
        <v>228</v>
      </c>
      <c r="H341" s="13"/>
      <c r="I341" s="13"/>
      <c r="J341" s="13"/>
      <c r="K341" s="13"/>
      <c r="L341" s="13"/>
      <c r="M341" s="13"/>
      <c r="N341" s="13" t="s">
        <v>13</v>
      </c>
      <c r="O341" s="13" t="s">
        <v>8</v>
      </c>
      <c r="P341" s="13">
        <f>SUM(P340:P340)</f>
        <v>195629.15</v>
      </c>
      <c r="Q341" s="14"/>
      <c r="R341" s="13"/>
    </row>
    <row r="342" spans="2:18" ht="15.6" customHeight="1" x14ac:dyDescent="0.25">
      <c r="G342" s="13" t="s">
        <v>205</v>
      </c>
      <c r="H342" s="13"/>
      <c r="I342" s="13"/>
      <c r="J342" s="13"/>
      <c r="K342" s="13"/>
      <c r="L342" s="13"/>
      <c r="M342" s="13"/>
      <c r="N342" s="13" t="s">
        <v>13</v>
      </c>
      <c r="O342" s="13" t="s">
        <v>8</v>
      </c>
      <c r="P342" s="16">
        <f>INT(P341/1)*1</f>
        <v>195629</v>
      </c>
      <c r="Q342" s="14"/>
      <c r="R342" s="13"/>
    </row>
    <row r="343" spans="2:18" ht="15.6" customHeight="1" x14ac:dyDescent="0.25"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4"/>
      <c r="R343" s="13"/>
    </row>
    <row r="344" spans="2:18" ht="15.6" customHeight="1" x14ac:dyDescent="0.25"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4"/>
      <c r="R344" s="13"/>
    </row>
    <row r="345" spans="2:18" ht="15.6" customHeight="1" x14ac:dyDescent="0.25"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4"/>
      <c r="R345" s="13"/>
    </row>
    <row r="346" spans="2:18" ht="15.6" customHeight="1" x14ac:dyDescent="0.25">
      <c r="B346" s="385" t="s">
        <v>401</v>
      </c>
      <c r="C346" s="35"/>
      <c r="D346" s="29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4"/>
      <c r="R346" s="13"/>
    </row>
    <row r="347" spans="2:18" ht="15.6" customHeight="1" x14ac:dyDescent="0.25">
      <c r="B347" s="36">
        <v>1.2999999999999999E-2</v>
      </c>
      <c r="C347" s="35" t="s">
        <v>62</v>
      </c>
      <c r="D347" s="29" t="s">
        <v>304</v>
      </c>
      <c r="E347" s="10" t="s">
        <v>15</v>
      </c>
      <c r="F347" s="10" t="s">
        <v>8</v>
      </c>
      <c r="G347" s="13">
        <f>'Unit Price '!E44</f>
        <v>4110000</v>
      </c>
      <c r="K347" s="13" t="s">
        <v>9</v>
      </c>
      <c r="L347" s="13" t="s">
        <v>8</v>
      </c>
      <c r="M347" s="13">
        <f>SUM(G347*B347)</f>
        <v>53430</v>
      </c>
      <c r="N347" s="13"/>
      <c r="O347" s="13"/>
      <c r="P347" s="13"/>
      <c r="Q347" s="14"/>
      <c r="R347" s="13"/>
    </row>
    <row r="348" spans="2:18" ht="15.6" customHeight="1" x14ac:dyDescent="0.25">
      <c r="B348" s="36">
        <v>0.36</v>
      </c>
      <c r="C348" s="35" t="s">
        <v>76</v>
      </c>
      <c r="D348" s="29" t="s">
        <v>77</v>
      </c>
      <c r="E348" s="10" t="s">
        <v>15</v>
      </c>
      <c r="F348" s="10" t="s">
        <v>8</v>
      </c>
      <c r="G348" s="13">
        <f>'Unit Price '!E52</f>
        <v>92475</v>
      </c>
      <c r="K348" s="13" t="s">
        <v>9</v>
      </c>
      <c r="L348" s="13" t="s">
        <v>8</v>
      </c>
      <c r="M348" s="13">
        <f t="shared" ref="M348:M353" si="4">SUM(G348*B348)</f>
        <v>33291</v>
      </c>
      <c r="N348" s="13"/>
      <c r="O348" s="13"/>
      <c r="P348" s="13"/>
      <c r="Q348" s="14"/>
      <c r="R348" s="13"/>
    </row>
    <row r="349" spans="2:18" ht="15.6" customHeight="1" x14ac:dyDescent="0.25">
      <c r="B349" s="36">
        <v>0.05</v>
      </c>
      <c r="C349" s="35" t="s">
        <v>78</v>
      </c>
      <c r="D349" s="385" t="s">
        <v>334</v>
      </c>
      <c r="E349" s="10" t="s">
        <v>15</v>
      </c>
      <c r="F349" s="10" t="s">
        <v>8</v>
      </c>
      <c r="G349" s="13">
        <f>'Unit Price '!E53</f>
        <v>13700</v>
      </c>
      <c r="K349" s="13" t="s">
        <v>9</v>
      </c>
      <c r="L349" s="13" t="s">
        <v>8</v>
      </c>
      <c r="M349" s="13">
        <f t="shared" si="4"/>
        <v>685</v>
      </c>
      <c r="N349" s="13"/>
      <c r="O349" s="13"/>
      <c r="P349" s="13"/>
      <c r="Q349" s="14"/>
      <c r="R349" s="13"/>
    </row>
    <row r="350" spans="2:18" ht="15.6" customHeight="1" x14ac:dyDescent="0.25">
      <c r="B350" s="36">
        <v>0.45</v>
      </c>
      <c r="C350" s="35" t="s">
        <v>58</v>
      </c>
      <c r="D350" s="385" t="s">
        <v>335</v>
      </c>
      <c r="E350" s="10" t="s">
        <v>15</v>
      </c>
      <c r="F350" s="10" t="s">
        <v>8</v>
      </c>
      <c r="G350" s="13">
        <f>'Unit Price '!E54</f>
        <v>34250</v>
      </c>
      <c r="K350" s="13" t="s">
        <v>9</v>
      </c>
      <c r="L350" s="13" t="s">
        <v>8</v>
      </c>
      <c r="M350" s="13">
        <f t="shared" si="4"/>
        <v>15412.5</v>
      </c>
      <c r="N350" s="13"/>
      <c r="O350" s="13"/>
      <c r="P350" s="13"/>
      <c r="Q350" s="14"/>
      <c r="R350" s="13"/>
    </row>
    <row r="351" spans="2:18" ht="15.6" customHeight="1" x14ac:dyDescent="0.25">
      <c r="B351" s="36">
        <v>3.0000000000000001E-3</v>
      </c>
      <c r="C351" s="35" t="s">
        <v>58</v>
      </c>
      <c r="D351" s="29" t="s">
        <v>79</v>
      </c>
      <c r="E351" s="10" t="s">
        <v>15</v>
      </c>
      <c r="F351" s="10" t="s">
        <v>8</v>
      </c>
      <c r="G351" s="13">
        <f>'Unit Price '!E55</f>
        <v>10960</v>
      </c>
      <c r="K351" s="13" t="s">
        <v>9</v>
      </c>
      <c r="L351" s="13" t="s">
        <v>8</v>
      </c>
      <c r="M351" s="13">
        <f t="shared" si="4"/>
        <v>32.880000000000003</v>
      </c>
      <c r="N351" s="13"/>
      <c r="O351" s="13"/>
      <c r="P351" s="13"/>
      <c r="Q351" s="14"/>
      <c r="R351" s="13"/>
    </row>
    <row r="352" spans="2:18" ht="15.6" customHeight="1" x14ac:dyDescent="0.25">
      <c r="B352" s="36">
        <v>0.05</v>
      </c>
      <c r="C352" s="35" t="s">
        <v>58</v>
      </c>
      <c r="D352" s="385" t="s">
        <v>337</v>
      </c>
      <c r="E352" s="10" t="s">
        <v>15</v>
      </c>
      <c r="F352" s="10" t="s">
        <v>8</v>
      </c>
      <c r="G352" s="13">
        <f>'Unit Price '!E27</f>
        <v>27400</v>
      </c>
      <c r="K352" s="13" t="s">
        <v>9</v>
      </c>
      <c r="L352" s="13" t="s">
        <v>8</v>
      </c>
      <c r="M352" s="13">
        <f t="shared" si="4"/>
        <v>1370</v>
      </c>
      <c r="N352" s="13"/>
      <c r="O352" s="13"/>
      <c r="P352" s="13"/>
      <c r="Q352" s="14"/>
      <c r="R352" s="13"/>
    </row>
    <row r="353" spans="2:18" ht="15.6" customHeight="1" x14ac:dyDescent="0.25">
      <c r="B353" s="36">
        <v>0.12</v>
      </c>
      <c r="C353" s="35" t="s">
        <v>58</v>
      </c>
      <c r="D353" s="29" t="s">
        <v>338</v>
      </c>
      <c r="E353" s="10" t="s">
        <v>15</v>
      </c>
      <c r="F353" s="10" t="s">
        <v>8</v>
      </c>
      <c r="G353" s="13">
        <f>'Unit Price '!E27</f>
        <v>27400</v>
      </c>
      <c r="K353" s="13" t="s">
        <v>9</v>
      </c>
      <c r="L353" s="13" t="s">
        <v>8</v>
      </c>
      <c r="M353" s="13">
        <f t="shared" si="4"/>
        <v>3288</v>
      </c>
      <c r="N353" s="13"/>
      <c r="O353" s="13"/>
      <c r="P353" s="13"/>
      <c r="Q353" s="14"/>
      <c r="R353" s="13"/>
    </row>
    <row r="354" spans="2:18" ht="15.6" customHeight="1" x14ac:dyDescent="0.25">
      <c r="B354" s="36">
        <v>0.37</v>
      </c>
      <c r="C354" s="35" t="s">
        <v>72</v>
      </c>
      <c r="D354" s="382" t="s">
        <v>286</v>
      </c>
      <c r="E354" s="10" t="s">
        <v>15</v>
      </c>
      <c r="F354" s="10" t="s">
        <v>8</v>
      </c>
      <c r="G354" s="13">
        <f>'Unit Price '!E111</f>
        <v>164400</v>
      </c>
      <c r="H354" s="13" t="s">
        <v>13</v>
      </c>
      <c r="I354" s="13" t="s">
        <v>8</v>
      </c>
      <c r="J354" s="13">
        <f>SUM(G354*B354)</f>
        <v>60828</v>
      </c>
      <c r="K354" s="13"/>
      <c r="L354" s="13"/>
      <c r="M354" s="13"/>
      <c r="N354" s="13"/>
      <c r="O354" s="13"/>
      <c r="P354" s="13"/>
      <c r="Q354" s="14"/>
      <c r="R354" s="13"/>
    </row>
    <row r="355" spans="2:18" ht="15.6" customHeight="1" x14ac:dyDescent="0.25">
      <c r="B355" s="36">
        <v>3.6999999999999998E-2</v>
      </c>
      <c r="C355" s="35" t="s">
        <v>72</v>
      </c>
      <c r="D355" s="18" t="s">
        <v>287</v>
      </c>
      <c r="E355" s="10" t="s">
        <v>15</v>
      </c>
      <c r="F355" s="10" t="s">
        <v>8</v>
      </c>
      <c r="G355" s="13">
        <f>'Unit Price '!E110</f>
        <v>178100</v>
      </c>
      <c r="H355" s="13" t="s">
        <v>13</v>
      </c>
      <c r="I355" s="13" t="s">
        <v>8</v>
      </c>
      <c r="J355" s="13">
        <f>SUM(G355*B355)</f>
        <v>6589.7</v>
      </c>
      <c r="K355" s="13"/>
      <c r="L355" s="13"/>
      <c r="M355" s="13"/>
      <c r="N355" s="13"/>
      <c r="O355" s="13"/>
      <c r="P355" s="13"/>
      <c r="Q355" s="14"/>
      <c r="R355" s="13"/>
    </row>
    <row r="356" spans="2:18" ht="15.6" customHeight="1" x14ac:dyDescent="0.25">
      <c r="B356" s="36">
        <v>0.24</v>
      </c>
      <c r="C356" s="35" t="s">
        <v>72</v>
      </c>
      <c r="D356" s="10" t="s">
        <v>230</v>
      </c>
      <c r="E356" s="10" t="s">
        <v>15</v>
      </c>
      <c r="F356" s="10" t="s">
        <v>8</v>
      </c>
      <c r="G356" s="13">
        <f>'Unit Price '!E120</f>
        <v>109600</v>
      </c>
      <c r="H356" s="13" t="s">
        <v>13</v>
      </c>
      <c r="I356" s="13" t="s">
        <v>8</v>
      </c>
      <c r="J356" s="13">
        <f>SUM(G356*B356)</f>
        <v>26304</v>
      </c>
      <c r="K356" s="13"/>
      <c r="L356" s="13"/>
      <c r="M356" s="13"/>
      <c r="N356" s="13"/>
      <c r="O356" s="13"/>
      <c r="P356" s="13"/>
      <c r="Q356" s="14"/>
      <c r="R356" s="13"/>
    </row>
    <row r="357" spans="2:18" ht="15.6" customHeight="1" x14ac:dyDescent="0.25">
      <c r="B357" s="36">
        <v>1.2E-2</v>
      </c>
      <c r="C357" s="35" t="s">
        <v>72</v>
      </c>
      <c r="D357" s="381" t="s">
        <v>261</v>
      </c>
      <c r="E357" s="10" t="s">
        <v>15</v>
      </c>
      <c r="F357" s="10" t="s">
        <v>8</v>
      </c>
      <c r="G357" s="13">
        <f>'Unit Price '!E109</f>
        <v>178100</v>
      </c>
      <c r="H357" s="13" t="s">
        <v>13</v>
      </c>
      <c r="I357" s="13" t="s">
        <v>8</v>
      </c>
      <c r="J357" s="13">
        <f>SUM(G357*B357)</f>
        <v>2137.1999999999998</v>
      </c>
      <c r="K357" s="13"/>
      <c r="L357" s="13"/>
      <c r="M357" s="13"/>
      <c r="N357" s="13"/>
      <c r="O357" s="13"/>
      <c r="P357" s="13"/>
      <c r="Q357" s="14"/>
      <c r="R357" s="13"/>
    </row>
    <row r="358" spans="2:18" ht="15.6" customHeight="1" x14ac:dyDescent="0.25">
      <c r="F358" s="13"/>
      <c r="G358" s="13" t="s">
        <v>228</v>
      </c>
      <c r="H358" s="13" t="s">
        <v>13</v>
      </c>
      <c r="I358" s="13" t="s">
        <v>8</v>
      </c>
      <c r="J358" s="13">
        <f>SUM(J354:J357)</f>
        <v>95858.9</v>
      </c>
      <c r="K358" s="13" t="s">
        <v>9</v>
      </c>
      <c r="L358" s="13" t="s">
        <v>8</v>
      </c>
      <c r="M358" s="13">
        <f>SUM(M347:M357)</f>
        <v>107509.38</v>
      </c>
      <c r="N358" s="13" t="s">
        <v>13</v>
      </c>
      <c r="O358" s="13" t="s">
        <v>8</v>
      </c>
      <c r="P358" s="13">
        <f>SUM(M358+J358)</f>
        <v>203368.28</v>
      </c>
      <c r="Q358" s="14"/>
      <c r="R358" s="13"/>
    </row>
    <row r="359" spans="2:18" ht="15.6" customHeight="1" x14ac:dyDescent="0.25">
      <c r="G359" s="13" t="s">
        <v>228</v>
      </c>
      <c r="H359" s="13"/>
      <c r="I359" s="13"/>
      <c r="J359" s="13"/>
      <c r="K359" s="13"/>
      <c r="L359" s="13"/>
      <c r="M359" s="13"/>
      <c r="N359" s="13" t="s">
        <v>13</v>
      </c>
      <c r="O359" s="13" t="s">
        <v>8</v>
      </c>
      <c r="P359" s="13">
        <f>SUM(P358:P358)</f>
        <v>203368.28</v>
      </c>
      <c r="Q359" s="14"/>
      <c r="R359" s="13"/>
    </row>
    <row r="360" spans="2:18" ht="15.6" customHeight="1" x14ac:dyDescent="0.25">
      <c r="G360" s="13" t="s">
        <v>205</v>
      </c>
      <c r="H360" s="13"/>
      <c r="I360" s="13"/>
      <c r="J360" s="13"/>
      <c r="K360" s="13"/>
      <c r="L360" s="13"/>
      <c r="M360" s="13"/>
      <c r="N360" s="13" t="s">
        <v>13</v>
      </c>
      <c r="O360" s="13" t="s">
        <v>8</v>
      </c>
      <c r="P360" s="16">
        <f>INT(P359/1)*1</f>
        <v>203368</v>
      </c>
      <c r="Q360" s="14"/>
      <c r="R360" s="13"/>
    </row>
    <row r="361" spans="2:18" ht="15.6" customHeight="1" x14ac:dyDescent="0.25"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4"/>
      <c r="R361" s="13"/>
    </row>
    <row r="362" spans="2:18" ht="15.6" customHeight="1" x14ac:dyDescent="0.25"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4"/>
      <c r="R362" s="13"/>
    </row>
    <row r="363" spans="2:18" ht="15.6" customHeight="1" x14ac:dyDescent="0.25">
      <c r="B363" s="385" t="s">
        <v>402</v>
      </c>
      <c r="C363" s="35"/>
      <c r="D363" s="29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4"/>
      <c r="R363" s="13"/>
    </row>
    <row r="364" spans="2:18" ht="15.6" customHeight="1" x14ac:dyDescent="0.25">
      <c r="B364" s="36">
        <v>1.1000000000000001</v>
      </c>
      <c r="C364" s="35" t="s">
        <v>73</v>
      </c>
      <c r="D364" s="384" t="s">
        <v>336</v>
      </c>
      <c r="E364" s="10" t="s">
        <v>15</v>
      </c>
      <c r="F364" s="10" t="s">
        <v>8</v>
      </c>
      <c r="G364" s="13">
        <f>'Unit Price '!E56</f>
        <v>6576</v>
      </c>
      <c r="K364" s="13" t="s">
        <v>9</v>
      </c>
      <c r="L364" s="13" t="s">
        <v>8</v>
      </c>
      <c r="M364" s="13">
        <f>SUM(G364*B364)</f>
        <v>7233.6</v>
      </c>
      <c r="N364" s="13"/>
      <c r="O364" s="13"/>
      <c r="P364" s="13"/>
      <c r="Q364" s="14"/>
      <c r="R364" s="13"/>
    </row>
    <row r="365" spans="2:18" ht="15.6" customHeight="1" x14ac:dyDescent="0.25">
      <c r="B365" s="36">
        <v>0.875</v>
      </c>
      <c r="C365" s="35" t="s">
        <v>58</v>
      </c>
      <c r="D365" s="385" t="s">
        <v>335</v>
      </c>
      <c r="E365" s="10" t="s">
        <v>15</v>
      </c>
      <c r="F365" s="10" t="s">
        <v>8</v>
      </c>
      <c r="G365" s="13">
        <f>'Unit Price '!E54</f>
        <v>34250</v>
      </c>
      <c r="K365" s="13" t="s">
        <v>9</v>
      </c>
      <c r="L365" s="13" t="s">
        <v>8</v>
      </c>
      <c r="M365" s="13">
        <f>SUM(G365*B365)</f>
        <v>29968.75</v>
      </c>
      <c r="N365" s="13"/>
      <c r="O365" s="13"/>
      <c r="P365" s="13"/>
      <c r="Q365" s="14"/>
      <c r="R365" s="13"/>
    </row>
    <row r="366" spans="2:18" ht="15.6" customHeight="1" x14ac:dyDescent="0.25">
      <c r="B366" s="36">
        <v>4.4000000000000003E-3</v>
      </c>
      <c r="C366" s="35" t="s">
        <v>58</v>
      </c>
      <c r="D366" s="29" t="s">
        <v>79</v>
      </c>
      <c r="E366" s="10" t="s">
        <v>15</v>
      </c>
      <c r="F366" s="10" t="s">
        <v>8</v>
      </c>
      <c r="G366" s="13">
        <f>G351</f>
        <v>10960</v>
      </c>
      <c r="K366" s="13" t="s">
        <v>9</v>
      </c>
      <c r="L366" s="13" t="s">
        <v>8</v>
      </c>
      <c r="M366" s="13">
        <f>SUM(G366*B366)</f>
        <v>48.224000000000004</v>
      </c>
      <c r="N366" s="13"/>
      <c r="O366" s="13"/>
      <c r="P366" s="13"/>
      <c r="Q366" s="14"/>
      <c r="R366" s="13"/>
    </row>
    <row r="367" spans="2:18" ht="15.6" customHeight="1" x14ac:dyDescent="0.25">
      <c r="B367" s="36">
        <v>3.7499999999999999E-2</v>
      </c>
      <c r="C367" s="35" t="s">
        <v>72</v>
      </c>
      <c r="D367" s="382" t="s">
        <v>286</v>
      </c>
      <c r="E367" s="10" t="s">
        <v>15</v>
      </c>
      <c r="F367" s="10" t="s">
        <v>8</v>
      </c>
      <c r="G367" s="13">
        <f>G354</f>
        <v>164400</v>
      </c>
      <c r="H367" s="13" t="s">
        <v>13</v>
      </c>
      <c r="I367" s="13" t="s">
        <v>8</v>
      </c>
      <c r="J367" s="13">
        <f>SUM(G367*B367)</f>
        <v>6165</v>
      </c>
      <c r="K367" s="13"/>
      <c r="L367" s="13"/>
      <c r="M367" s="13"/>
      <c r="N367" s="13"/>
      <c r="O367" s="13"/>
      <c r="P367" s="13"/>
      <c r="Q367" s="14"/>
      <c r="R367" s="13"/>
    </row>
    <row r="368" spans="2:18" ht="15.6" customHeight="1" x14ac:dyDescent="0.25">
      <c r="B368" s="36">
        <v>3.7000000000000002E-3</v>
      </c>
      <c r="C368" s="35" t="s">
        <v>72</v>
      </c>
      <c r="D368" s="18" t="s">
        <v>287</v>
      </c>
      <c r="E368" s="10" t="s">
        <v>15</v>
      </c>
      <c r="F368" s="10" t="s">
        <v>8</v>
      </c>
      <c r="G368" s="13">
        <f>G355</f>
        <v>178100</v>
      </c>
      <c r="H368" s="13" t="s">
        <v>13</v>
      </c>
      <c r="I368" s="13" t="s">
        <v>8</v>
      </c>
      <c r="J368" s="13">
        <f>SUM(G368*B368)</f>
        <v>658.97</v>
      </c>
      <c r="K368" s="13"/>
      <c r="L368" s="13"/>
      <c r="M368" s="13"/>
      <c r="N368" s="13"/>
      <c r="O368" s="13"/>
      <c r="P368" s="13"/>
      <c r="Q368" s="14"/>
      <c r="R368" s="13"/>
    </row>
    <row r="369" spans="2:18" ht="15.6" customHeight="1" x14ac:dyDescent="0.25">
      <c r="B369" s="36">
        <v>0.1125</v>
      </c>
      <c r="C369" s="35" t="s">
        <v>72</v>
      </c>
      <c r="D369" s="10" t="s">
        <v>230</v>
      </c>
      <c r="E369" s="10" t="s">
        <v>15</v>
      </c>
      <c r="F369" s="10" t="s">
        <v>8</v>
      </c>
      <c r="G369" s="13">
        <f>G356</f>
        <v>109600</v>
      </c>
      <c r="H369" s="13" t="s">
        <v>13</v>
      </c>
      <c r="I369" s="13" t="s">
        <v>8</v>
      </c>
      <c r="J369" s="13">
        <f>SUM(G369*B369)</f>
        <v>12330</v>
      </c>
      <c r="K369" s="13"/>
      <c r="L369" s="13"/>
      <c r="M369" s="13"/>
      <c r="N369" s="13"/>
      <c r="O369" s="13"/>
      <c r="P369" s="13"/>
      <c r="Q369" s="14"/>
      <c r="R369" s="13"/>
    </row>
    <row r="370" spans="2:18" ht="15.6" customHeight="1" x14ac:dyDescent="0.25">
      <c r="B370" s="36">
        <v>6.4999999999999997E-3</v>
      </c>
      <c r="C370" s="35" t="s">
        <v>72</v>
      </c>
      <c r="D370" s="381" t="s">
        <v>261</v>
      </c>
      <c r="E370" s="10" t="s">
        <v>15</v>
      </c>
      <c r="F370" s="10" t="s">
        <v>8</v>
      </c>
      <c r="G370" s="13">
        <f>G357</f>
        <v>178100</v>
      </c>
      <c r="H370" s="13" t="s">
        <v>13</v>
      </c>
      <c r="I370" s="13" t="s">
        <v>8</v>
      </c>
      <c r="J370" s="13">
        <f>SUM(G370*B370)</f>
        <v>1157.6499999999999</v>
      </c>
      <c r="K370" s="13"/>
      <c r="L370" s="13"/>
      <c r="M370" s="13"/>
      <c r="N370" s="13"/>
      <c r="O370" s="13"/>
      <c r="P370" s="13"/>
      <c r="Q370" s="14"/>
      <c r="R370" s="13"/>
    </row>
    <row r="371" spans="2:18" ht="15.6" customHeight="1" x14ac:dyDescent="0.25">
      <c r="F371" s="13"/>
      <c r="G371" s="13" t="s">
        <v>228</v>
      </c>
      <c r="H371" s="13" t="s">
        <v>13</v>
      </c>
      <c r="I371" s="13" t="s">
        <v>8</v>
      </c>
      <c r="J371" s="13">
        <f>SUM(J367:J370)</f>
        <v>20311.620000000003</v>
      </c>
      <c r="K371" s="13" t="s">
        <v>9</v>
      </c>
      <c r="L371" s="13" t="s">
        <v>8</v>
      </c>
      <c r="M371" s="13">
        <f>SUM(M360:M370)</f>
        <v>37250.574000000001</v>
      </c>
      <c r="N371" s="13" t="s">
        <v>13</v>
      </c>
      <c r="O371" s="13" t="s">
        <v>8</v>
      </c>
      <c r="P371" s="13">
        <f>SUM(M371+J371)</f>
        <v>57562.194000000003</v>
      </c>
      <c r="Q371" s="14"/>
      <c r="R371" s="13"/>
    </row>
    <row r="372" spans="2:18" ht="15.6" customHeight="1" x14ac:dyDescent="0.25">
      <c r="G372" s="13" t="s">
        <v>228</v>
      </c>
      <c r="H372" s="13"/>
      <c r="I372" s="13"/>
      <c r="J372" s="13"/>
      <c r="K372" s="13"/>
      <c r="L372" s="13"/>
      <c r="M372" s="13"/>
      <c r="N372" s="13" t="s">
        <v>13</v>
      </c>
      <c r="O372" s="13" t="s">
        <v>8</v>
      </c>
      <c r="P372" s="13">
        <f>SUM(P371:P371)</f>
        <v>57562.194000000003</v>
      </c>
      <c r="Q372" s="14"/>
      <c r="R372" s="13"/>
    </row>
    <row r="373" spans="2:18" ht="15.6" customHeight="1" x14ac:dyDescent="0.25">
      <c r="G373" s="13" t="s">
        <v>205</v>
      </c>
      <c r="H373" s="13"/>
      <c r="I373" s="13"/>
      <c r="J373" s="13"/>
      <c r="K373" s="13"/>
      <c r="L373" s="13"/>
      <c r="M373" s="13"/>
      <c r="N373" s="13" t="s">
        <v>13</v>
      </c>
      <c r="O373" s="13" t="s">
        <v>8</v>
      </c>
      <c r="P373" s="16">
        <f>INT(P372/1)*1</f>
        <v>57562</v>
      </c>
      <c r="Q373" s="14"/>
      <c r="R373" s="13"/>
    </row>
    <row r="374" spans="2:18" ht="15.6" customHeight="1" x14ac:dyDescent="0.25">
      <c r="B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4"/>
      <c r="R374" s="13"/>
    </row>
    <row r="375" spans="2:18" ht="15.6" customHeight="1" x14ac:dyDescent="0.25">
      <c r="B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4"/>
      <c r="R375" s="13"/>
    </row>
    <row r="376" spans="2:18" ht="15.6" customHeight="1" x14ac:dyDescent="0.25">
      <c r="B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4"/>
      <c r="R376" s="13"/>
    </row>
    <row r="377" spans="2:18" ht="15.6" customHeight="1" x14ac:dyDescent="0.25">
      <c r="B377" s="385" t="s">
        <v>403</v>
      </c>
      <c r="C377" s="35"/>
      <c r="D377" s="29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4"/>
      <c r="R377" s="13"/>
    </row>
    <row r="378" spans="2:18" ht="15.6" customHeight="1" x14ac:dyDescent="0.25">
      <c r="B378" s="36">
        <v>0.1</v>
      </c>
      <c r="C378" s="35" t="s">
        <v>58</v>
      </c>
      <c r="D378" s="385" t="s">
        <v>339</v>
      </c>
      <c r="E378" s="10" t="s">
        <v>15</v>
      </c>
      <c r="F378" s="10" t="s">
        <v>8</v>
      </c>
      <c r="G378" s="13">
        <f>'Unit Price '!E77</f>
        <v>35072</v>
      </c>
      <c r="K378" s="13" t="s">
        <v>9</v>
      </c>
      <c r="L378" s="13" t="s">
        <v>8</v>
      </c>
      <c r="M378" s="13">
        <f>SUM(G378*B378)</f>
        <v>3507.2000000000003</v>
      </c>
      <c r="N378" s="13"/>
      <c r="O378" s="13"/>
      <c r="P378" s="13"/>
      <c r="Q378" s="14"/>
      <c r="R378" s="13"/>
    </row>
    <row r="379" spans="2:18" ht="15.6" customHeight="1" x14ac:dyDescent="0.25">
      <c r="B379" s="36">
        <v>0.1</v>
      </c>
      <c r="C379" s="35" t="s">
        <v>58</v>
      </c>
      <c r="D379" s="385" t="s">
        <v>340</v>
      </c>
      <c r="E379" s="10" t="s">
        <v>15</v>
      </c>
      <c r="F379" s="10" t="s">
        <v>8</v>
      </c>
      <c r="G379" s="13">
        <f>'Unit Price '!E72</f>
        <v>30140</v>
      </c>
      <c r="K379" s="13" t="s">
        <v>9</v>
      </c>
      <c r="L379" s="13" t="s">
        <v>8</v>
      </c>
      <c r="M379" s="13">
        <f>SUM(G379*B379)</f>
        <v>3014</v>
      </c>
      <c r="N379" s="13"/>
      <c r="O379" s="13"/>
      <c r="P379" s="13"/>
      <c r="Q379" s="14"/>
      <c r="R379" s="13"/>
    </row>
    <row r="380" spans="2:18" ht="15.6" customHeight="1" x14ac:dyDescent="0.25">
      <c r="B380" s="36">
        <v>0.26</v>
      </c>
      <c r="C380" s="35" t="s">
        <v>58</v>
      </c>
      <c r="D380" s="29" t="s">
        <v>341</v>
      </c>
      <c r="E380" s="10" t="s">
        <v>15</v>
      </c>
      <c r="F380" s="10" t="s">
        <v>8</v>
      </c>
      <c r="G380" s="13">
        <f>'Unit Price '!E72</f>
        <v>30140</v>
      </c>
      <c r="K380" s="13" t="s">
        <v>9</v>
      </c>
      <c r="L380" s="13" t="s">
        <v>8</v>
      </c>
      <c r="M380" s="13">
        <f>SUM(G380*B380)</f>
        <v>7836.4000000000005</v>
      </c>
      <c r="N380" s="13"/>
      <c r="O380" s="13"/>
      <c r="P380" s="13"/>
      <c r="Q380" s="14"/>
      <c r="R380" s="13"/>
    </row>
    <row r="381" spans="2:18" ht="15.6" customHeight="1" x14ac:dyDescent="0.25">
      <c r="B381" s="36">
        <v>6.3E-2</v>
      </c>
      <c r="C381" s="35" t="s">
        <v>72</v>
      </c>
      <c r="D381" s="386" t="s">
        <v>342</v>
      </c>
      <c r="E381" s="10" t="s">
        <v>15</v>
      </c>
      <c r="F381" s="10" t="s">
        <v>8</v>
      </c>
      <c r="G381" s="13">
        <f>'Unit Price '!E117</f>
        <v>137000</v>
      </c>
      <c r="H381" s="13" t="s">
        <v>13</v>
      </c>
      <c r="I381" s="13" t="s">
        <v>8</v>
      </c>
      <c r="J381" s="13">
        <f>SUM(G381*B381)</f>
        <v>8631</v>
      </c>
      <c r="K381" s="13"/>
      <c r="L381" s="13"/>
      <c r="M381" s="13"/>
      <c r="N381" s="13"/>
      <c r="O381" s="13"/>
      <c r="P381" s="13"/>
      <c r="Q381" s="14"/>
      <c r="R381" s="13"/>
    </row>
    <row r="382" spans="2:18" ht="15.6" customHeight="1" x14ac:dyDescent="0.25">
      <c r="B382" s="36">
        <v>6.3E-3</v>
      </c>
      <c r="C382" s="35" t="s">
        <v>72</v>
      </c>
      <c r="D382" s="29" t="s">
        <v>343</v>
      </c>
      <c r="E382" s="10" t="s">
        <v>15</v>
      </c>
      <c r="F382" s="10" t="s">
        <v>8</v>
      </c>
      <c r="G382" s="13">
        <f>'Unit Price '!E116</f>
        <v>164400</v>
      </c>
      <c r="H382" s="13" t="s">
        <v>13</v>
      </c>
      <c r="I382" s="13" t="s">
        <v>8</v>
      </c>
      <c r="J382" s="13">
        <f>SUM(G382*B382)</f>
        <v>1035.72</v>
      </c>
      <c r="K382" s="13"/>
      <c r="L382" s="13"/>
      <c r="M382" s="13"/>
      <c r="N382" s="13"/>
      <c r="O382" s="13"/>
      <c r="P382" s="13"/>
      <c r="Q382" s="14"/>
      <c r="R382" s="13"/>
    </row>
    <row r="383" spans="2:18" ht="15.6" customHeight="1" x14ac:dyDescent="0.25">
      <c r="B383" s="36">
        <v>0.02</v>
      </c>
      <c r="C383" s="35" t="s">
        <v>72</v>
      </c>
      <c r="D383" s="10" t="s">
        <v>230</v>
      </c>
      <c r="E383" s="10" t="s">
        <v>15</v>
      </c>
      <c r="F383" s="10" t="s">
        <v>8</v>
      </c>
      <c r="G383" s="13">
        <f>'Unit Price '!E120</f>
        <v>109600</v>
      </c>
      <c r="H383" s="13" t="s">
        <v>13</v>
      </c>
      <c r="I383" s="13" t="s">
        <v>8</v>
      </c>
      <c r="J383" s="13">
        <f>SUM(G383*B383)</f>
        <v>2192</v>
      </c>
      <c r="K383" s="13"/>
      <c r="L383" s="13"/>
      <c r="M383" s="13"/>
      <c r="N383" s="13"/>
      <c r="O383" s="13"/>
      <c r="P383" s="13"/>
      <c r="Q383" s="14"/>
      <c r="R383" s="13"/>
    </row>
    <row r="384" spans="2:18" ht="15.6" customHeight="1" x14ac:dyDescent="0.25">
      <c r="B384" s="36">
        <v>2.5000000000000001E-3</v>
      </c>
      <c r="C384" s="35" t="s">
        <v>72</v>
      </c>
      <c r="D384" s="381" t="s">
        <v>261</v>
      </c>
      <c r="E384" s="10" t="s">
        <v>15</v>
      </c>
      <c r="F384" s="10" t="s">
        <v>8</v>
      </c>
      <c r="G384" s="13">
        <f>'Unit Price '!E109</f>
        <v>178100</v>
      </c>
      <c r="H384" s="13" t="s">
        <v>13</v>
      </c>
      <c r="I384" s="13" t="s">
        <v>8</v>
      </c>
      <c r="J384" s="13">
        <f>SUM(G384*B384)</f>
        <v>445.25</v>
      </c>
      <c r="K384" s="13"/>
      <c r="L384" s="13"/>
      <c r="M384" s="13"/>
      <c r="N384" s="13"/>
      <c r="O384" s="13"/>
      <c r="P384" s="13"/>
      <c r="Q384" s="14"/>
      <c r="R384" s="13"/>
    </row>
    <row r="385" spans="2:18" ht="15.6" customHeight="1" x14ac:dyDescent="0.25">
      <c r="B385" s="13"/>
      <c r="F385" s="13"/>
      <c r="G385" s="13" t="s">
        <v>228</v>
      </c>
      <c r="H385" s="13" t="s">
        <v>13</v>
      </c>
      <c r="I385" s="13" t="s">
        <v>8</v>
      </c>
      <c r="J385" s="13">
        <f>SUM(J381:J384)</f>
        <v>12303.97</v>
      </c>
      <c r="K385" s="13" t="s">
        <v>9</v>
      </c>
      <c r="L385" s="13" t="s">
        <v>8</v>
      </c>
      <c r="M385" s="13">
        <f>SUM(M378:M384)</f>
        <v>14357.600000000002</v>
      </c>
      <c r="N385" s="13" t="s">
        <v>13</v>
      </c>
      <c r="O385" s="13" t="s">
        <v>8</v>
      </c>
      <c r="P385" s="13">
        <f>SUM(M385+J385)</f>
        <v>26661.57</v>
      </c>
      <c r="Q385" s="14"/>
      <c r="R385" s="13"/>
    </row>
    <row r="386" spans="2:18" ht="15.6" customHeight="1" x14ac:dyDescent="0.25">
      <c r="B386" s="13"/>
      <c r="G386" s="13" t="s">
        <v>228</v>
      </c>
      <c r="H386" s="13"/>
      <c r="I386" s="13"/>
      <c r="J386" s="13"/>
      <c r="K386" s="13"/>
      <c r="L386" s="13"/>
      <c r="M386" s="13"/>
      <c r="N386" s="13" t="s">
        <v>13</v>
      </c>
      <c r="O386" s="13" t="s">
        <v>8</v>
      </c>
      <c r="P386" s="13">
        <f>SUM(P385:P385)</f>
        <v>26661.57</v>
      </c>
      <c r="Q386" s="14"/>
      <c r="R386" s="13"/>
    </row>
    <row r="387" spans="2:18" ht="15.6" customHeight="1" x14ac:dyDescent="0.25">
      <c r="B387" s="13"/>
      <c r="G387" s="13" t="s">
        <v>205</v>
      </c>
      <c r="H387" s="13"/>
      <c r="I387" s="13"/>
      <c r="J387" s="13"/>
      <c r="K387" s="13"/>
      <c r="L387" s="13"/>
      <c r="M387" s="13"/>
      <c r="N387" s="13" t="s">
        <v>13</v>
      </c>
      <c r="O387" s="13" t="s">
        <v>8</v>
      </c>
      <c r="P387" s="16">
        <f>INT(P386/1)*1</f>
        <v>26661</v>
      </c>
      <c r="Q387" s="14"/>
      <c r="R387" s="13"/>
    </row>
    <row r="388" spans="2:18" ht="15.6" customHeight="1" x14ac:dyDescent="0.25">
      <c r="B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4"/>
      <c r="R388" s="13"/>
    </row>
    <row r="389" spans="2:18" ht="15.6" customHeight="1" x14ac:dyDescent="0.25">
      <c r="B389" s="91" t="s">
        <v>404</v>
      </c>
      <c r="D389" s="214"/>
      <c r="G389" s="237"/>
      <c r="H389" s="237"/>
      <c r="I389" s="237"/>
      <c r="J389" s="237"/>
      <c r="K389" s="237"/>
      <c r="L389" s="237"/>
      <c r="M389" s="237"/>
      <c r="N389" s="237"/>
      <c r="O389" s="237"/>
      <c r="P389" s="237"/>
      <c r="Q389" s="238"/>
      <c r="R389" s="237"/>
    </row>
    <row r="390" spans="2:18" ht="15.6" customHeight="1" x14ac:dyDescent="0.25">
      <c r="B390" s="208">
        <v>0.2</v>
      </c>
      <c r="C390" s="209" t="s">
        <v>58</v>
      </c>
      <c r="D390" s="91" t="s">
        <v>344</v>
      </c>
      <c r="E390" s="10" t="s">
        <v>15</v>
      </c>
      <c r="F390" s="10" t="s">
        <v>8</v>
      </c>
      <c r="G390" s="237">
        <f>'Unit Price '!E73</f>
        <v>89050</v>
      </c>
      <c r="K390" s="237" t="s">
        <v>9</v>
      </c>
      <c r="L390" s="237" t="s">
        <v>8</v>
      </c>
      <c r="M390" s="237">
        <f>SUM(G390*B390)</f>
        <v>17810</v>
      </c>
      <c r="N390" s="237"/>
      <c r="O390" s="237"/>
      <c r="P390" s="237"/>
      <c r="Q390" s="238"/>
      <c r="R390" s="237"/>
    </row>
    <row r="391" spans="2:18" ht="15.6" customHeight="1" x14ac:dyDescent="0.25">
      <c r="B391" s="208">
        <v>0.15</v>
      </c>
      <c r="C391" s="209" t="s">
        <v>58</v>
      </c>
      <c r="D391" s="383" t="s">
        <v>345</v>
      </c>
      <c r="E391" s="10" t="s">
        <v>15</v>
      </c>
      <c r="F391" s="10" t="s">
        <v>8</v>
      </c>
      <c r="G391" s="237">
        <f>'Unit Price '!E76</f>
        <v>52608</v>
      </c>
      <c r="K391" s="237" t="s">
        <v>9</v>
      </c>
      <c r="L391" s="237" t="s">
        <v>8</v>
      </c>
      <c r="M391" s="237">
        <f>SUM(G391*B391)</f>
        <v>7891.2</v>
      </c>
      <c r="N391" s="237"/>
      <c r="O391" s="237"/>
      <c r="P391" s="237"/>
      <c r="Q391" s="238"/>
      <c r="R391" s="237"/>
    </row>
    <row r="392" spans="2:18" ht="15.6" customHeight="1" x14ac:dyDescent="0.25">
      <c r="B392" s="208">
        <v>0.17</v>
      </c>
      <c r="C392" s="209" t="s">
        <v>58</v>
      </c>
      <c r="D392" s="91" t="s">
        <v>344</v>
      </c>
      <c r="E392" s="10" t="s">
        <v>15</v>
      </c>
      <c r="F392" s="10" t="s">
        <v>8</v>
      </c>
      <c r="G392" s="237">
        <f>'Unit Price '!E74</f>
        <v>43840</v>
      </c>
      <c r="K392" s="237" t="s">
        <v>9</v>
      </c>
      <c r="L392" s="237" t="s">
        <v>8</v>
      </c>
      <c r="M392" s="237">
        <f>SUM(G392*B392)</f>
        <v>7452.8</v>
      </c>
      <c r="N392" s="237"/>
      <c r="O392" s="237"/>
      <c r="P392" s="237"/>
      <c r="Q392" s="238"/>
      <c r="R392" s="237"/>
    </row>
    <row r="393" spans="2:18" ht="15.6" customHeight="1" x14ac:dyDescent="0.25">
      <c r="B393" s="208">
        <v>0.26</v>
      </c>
      <c r="C393" s="209" t="s">
        <v>58</v>
      </c>
      <c r="D393" s="91" t="s">
        <v>346</v>
      </c>
      <c r="E393" s="10" t="s">
        <v>15</v>
      </c>
      <c r="F393" s="10" t="s">
        <v>8</v>
      </c>
      <c r="G393" s="237">
        <f>G390</f>
        <v>89050</v>
      </c>
      <c r="K393" s="237" t="s">
        <v>9</v>
      </c>
      <c r="L393" s="237" t="s">
        <v>8</v>
      </c>
      <c r="M393" s="237">
        <f>SUM(G393*B393)</f>
        <v>23153</v>
      </c>
      <c r="N393" s="237"/>
      <c r="O393" s="237"/>
      <c r="P393" s="237"/>
      <c r="Q393" s="238"/>
      <c r="R393" s="237"/>
    </row>
    <row r="394" spans="2:18" ht="15.6" customHeight="1" x14ac:dyDescent="0.25">
      <c r="B394" s="208">
        <v>0.09</v>
      </c>
      <c r="C394" s="209" t="s">
        <v>72</v>
      </c>
      <c r="D394" s="386" t="s">
        <v>342</v>
      </c>
      <c r="E394" s="10" t="s">
        <v>15</v>
      </c>
      <c r="F394" s="10" t="s">
        <v>8</v>
      </c>
      <c r="G394" s="237">
        <f>'Unit Price '!E117</f>
        <v>137000</v>
      </c>
      <c r="H394" s="237" t="s">
        <v>13</v>
      </c>
      <c r="I394" s="237" t="s">
        <v>8</v>
      </c>
      <c r="J394" s="237">
        <f>SUM(G394*B394)</f>
        <v>12330</v>
      </c>
      <c r="K394" s="237"/>
      <c r="L394" s="237"/>
      <c r="M394" s="237"/>
      <c r="N394" s="237"/>
      <c r="O394" s="237"/>
      <c r="P394" s="237"/>
      <c r="Q394" s="238"/>
      <c r="R394" s="237"/>
    </row>
    <row r="395" spans="2:18" ht="15.6" customHeight="1" x14ac:dyDescent="0.25">
      <c r="B395" s="208">
        <v>6.0000000000000001E-3</v>
      </c>
      <c r="C395" s="209" t="s">
        <v>72</v>
      </c>
      <c r="D395" s="29" t="s">
        <v>343</v>
      </c>
      <c r="E395" s="10" t="s">
        <v>15</v>
      </c>
      <c r="F395" s="10" t="s">
        <v>8</v>
      </c>
      <c r="G395" s="237">
        <f>'Unit Price '!E116</f>
        <v>164400</v>
      </c>
      <c r="H395" s="237" t="s">
        <v>13</v>
      </c>
      <c r="I395" s="237" t="s">
        <v>8</v>
      </c>
      <c r="J395" s="237">
        <f>SUM(G395*B395)</f>
        <v>986.4</v>
      </c>
      <c r="K395" s="237"/>
      <c r="L395" s="237"/>
      <c r="M395" s="237"/>
      <c r="N395" s="237"/>
      <c r="O395" s="237"/>
      <c r="P395" s="237"/>
      <c r="Q395" s="238"/>
      <c r="R395" s="237"/>
    </row>
    <row r="396" spans="2:18" ht="15.6" customHeight="1" x14ac:dyDescent="0.25">
      <c r="B396" s="208">
        <v>7.0000000000000007E-2</v>
      </c>
      <c r="C396" s="209" t="s">
        <v>72</v>
      </c>
      <c r="D396" s="10" t="s">
        <v>230</v>
      </c>
      <c r="E396" s="10" t="s">
        <v>15</v>
      </c>
      <c r="F396" s="10" t="s">
        <v>8</v>
      </c>
      <c r="G396" s="237">
        <f>'Unit Price '!E120</f>
        <v>109600</v>
      </c>
      <c r="H396" s="237" t="s">
        <v>13</v>
      </c>
      <c r="I396" s="237" t="s">
        <v>8</v>
      </c>
      <c r="J396" s="237">
        <f>SUM(G396*B396)</f>
        <v>7672.0000000000009</v>
      </c>
      <c r="K396" s="237"/>
      <c r="L396" s="237"/>
      <c r="M396" s="237"/>
      <c r="N396" s="237"/>
      <c r="O396" s="237"/>
      <c r="P396" s="237"/>
      <c r="Q396" s="238"/>
      <c r="R396" s="237"/>
    </row>
    <row r="397" spans="2:18" ht="15.6" customHeight="1" x14ac:dyDescent="0.25">
      <c r="B397" s="208">
        <v>2.5000000000000001E-3</v>
      </c>
      <c r="C397" s="209" t="s">
        <v>72</v>
      </c>
      <c r="D397" s="381" t="s">
        <v>261</v>
      </c>
      <c r="E397" s="10" t="s">
        <v>15</v>
      </c>
      <c r="F397" s="10" t="s">
        <v>8</v>
      </c>
      <c r="G397" s="237">
        <f>'Unit Price '!E109</f>
        <v>178100</v>
      </c>
      <c r="H397" s="237" t="s">
        <v>13</v>
      </c>
      <c r="I397" s="237" t="s">
        <v>8</v>
      </c>
      <c r="J397" s="237">
        <f>SUM(G397*B397)</f>
        <v>445.25</v>
      </c>
      <c r="K397" s="237"/>
      <c r="L397" s="237"/>
      <c r="M397" s="237"/>
      <c r="N397" s="237"/>
      <c r="O397" s="237"/>
      <c r="P397" s="237"/>
      <c r="Q397" s="238"/>
      <c r="R397" s="237"/>
    </row>
    <row r="398" spans="2:18" ht="15.6" customHeight="1" x14ac:dyDescent="0.25">
      <c r="B398" s="237"/>
      <c r="F398" s="237"/>
      <c r="G398" s="13" t="s">
        <v>228</v>
      </c>
      <c r="H398" s="237" t="s">
        <v>13</v>
      </c>
      <c r="I398" s="237" t="s">
        <v>8</v>
      </c>
      <c r="J398" s="237">
        <f>SUM(J394:J397)</f>
        <v>21433.65</v>
      </c>
      <c r="K398" s="237" t="s">
        <v>9</v>
      </c>
      <c r="L398" s="237" t="s">
        <v>8</v>
      </c>
      <c r="M398" s="237">
        <f>SUM(M391:M397)</f>
        <v>38497</v>
      </c>
      <c r="N398" s="237" t="s">
        <v>13</v>
      </c>
      <c r="O398" s="237" t="s">
        <v>8</v>
      </c>
      <c r="P398" s="237">
        <f>SUM(M398+J398)</f>
        <v>59930.65</v>
      </c>
      <c r="Q398" s="238"/>
      <c r="R398" s="237"/>
    </row>
    <row r="399" spans="2:18" ht="15.6" customHeight="1" x14ac:dyDescent="0.25">
      <c r="B399" s="237"/>
      <c r="G399" s="13" t="s">
        <v>228</v>
      </c>
      <c r="H399" s="237"/>
      <c r="I399" s="237"/>
      <c r="J399" s="237"/>
      <c r="K399" s="237"/>
      <c r="L399" s="237"/>
      <c r="M399" s="237"/>
      <c r="N399" s="237" t="s">
        <v>13</v>
      </c>
      <c r="O399" s="237" t="s">
        <v>8</v>
      </c>
      <c r="P399" s="237">
        <f>SUM(P398:P398)</f>
        <v>59930.65</v>
      </c>
      <c r="Q399" s="238"/>
      <c r="R399" s="237"/>
    </row>
    <row r="400" spans="2:18" ht="15.6" customHeight="1" x14ac:dyDescent="0.25">
      <c r="B400" s="237"/>
      <c r="G400" s="13" t="s">
        <v>205</v>
      </c>
      <c r="H400" s="237"/>
      <c r="I400" s="237"/>
      <c r="J400" s="237"/>
      <c r="K400" s="237"/>
      <c r="L400" s="237"/>
      <c r="M400" s="237"/>
      <c r="N400" s="237" t="s">
        <v>13</v>
      </c>
      <c r="O400" s="237" t="s">
        <v>8</v>
      </c>
      <c r="P400" s="239">
        <f>INT(P399/1)*1</f>
        <v>59930</v>
      </c>
      <c r="Q400" s="238"/>
      <c r="R400" s="237"/>
    </row>
    <row r="401" spans="2:18" ht="15.6" customHeight="1" x14ac:dyDescent="0.25">
      <c r="B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4"/>
      <c r="R401" s="13"/>
    </row>
    <row r="402" spans="2:18" ht="15.6" customHeight="1" x14ac:dyDescent="0.25">
      <c r="B402" s="29" t="s">
        <v>405</v>
      </c>
      <c r="C402" s="35"/>
      <c r="D402" s="29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4"/>
      <c r="R402" s="13"/>
    </row>
    <row r="403" spans="2:18" ht="15.6" customHeight="1" x14ac:dyDescent="0.25">
      <c r="B403" s="36">
        <v>1</v>
      </c>
      <c r="C403" s="35" t="s">
        <v>71</v>
      </c>
      <c r="D403" s="384" t="s">
        <v>347</v>
      </c>
      <c r="E403" s="10" t="s">
        <v>15</v>
      </c>
      <c r="F403" s="10" t="s">
        <v>8</v>
      </c>
      <c r="G403" s="13">
        <f>'Unit Price '!E87</f>
        <v>137000</v>
      </c>
      <c r="K403" s="13" t="s">
        <v>9</v>
      </c>
      <c r="L403" s="13" t="s">
        <v>8</v>
      </c>
      <c r="M403" s="13">
        <f>SUM(G403*B403)</f>
        <v>137000</v>
      </c>
      <c r="N403" s="13"/>
      <c r="O403" s="13"/>
      <c r="P403" s="13"/>
      <c r="Q403" s="14"/>
      <c r="R403" s="13"/>
    </row>
    <row r="404" spans="2:18" ht="15.6" customHeight="1" x14ac:dyDescent="0.25">
      <c r="B404" s="36">
        <v>6</v>
      </c>
      <c r="C404" s="35" t="s">
        <v>58</v>
      </c>
      <c r="D404" s="29" t="s">
        <v>45</v>
      </c>
      <c r="E404" s="10" t="s">
        <v>15</v>
      </c>
      <c r="F404" s="10" t="s">
        <v>8</v>
      </c>
      <c r="G404" s="13">
        <f>'Unit Price '!E9</f>
        <v>1918</v>
      </c>
      <c r="K404" s="13" t="s">
        <v>9</v>
      </c>
      <c r="L404" s="13" t="s">
        <v>8</v>
      </c>
      <c r="M404" s="13">
        <f>SUM(G404*B404)</f>
        <v>11508</v>
      </c>
      <c r="N404" s="13"/>
      <c r="O404" s="13"/>
      <c r="P404" s="13"/>
      <c r="Q404" s="14"/>
      <c r="R404" s="13"/>
    </row>
    <row r="405" spans="2:18" ht="15.6" customHeight="1" x14ac:dyDescent="0.25">
      <c r="B405" s="36">
        <v>0.01</v>
      </c>
      <c r="C405" s="35" t="s">
        <v>62</v>
      </c>
      <c r="D405" s="29" t="s">
        <v>302</v>
      </c>
      <c r="E405" s="10" t="s">
        <v>15</v>
      </c>
      <c r="F405" s="10" t="s">
        <v>8</v>
      </c>
      <c r="G405" s="13">
        <f>'Unit Price '!E12</f>
        <v>119875</v>
      </c>
      <c r="K405" s="13" t="s">
        <v>9</v>
      </c>
      <c r="L405" s="13" t="s">
        <v>8</v>
      </c>
      <c r="M405" s="13">
        <f>SUM(G405*B405)</f>
        <v>1198.75</v>
      </c>
      <c r="N405" s="13"/>
      <c r="O405" s="13"/>
      <c r="P405" s="13"/>
      <c r="Q405" s="14"/>
      <c r="R405" s="13"/>
    </row>
    <row r="406" spans="2:18" ht="15.6" customHeight="1" x14ac:dyDescent="0.25">
      <c r="B406" s="36">
        <v>1.5</v>
      </c>
      <c r="C406" s="35" t="s">
        <v>72</v>
      </c>
      <c r="D406" s="29" t="s">
        <v>296</v>
      </c>
      <c r="E406" s="10" t="s">
        <v>15</v>
      </c>
      <c r="F406" s="10" t="s">
        <v>8</v>
      </c>
      <c r="G406" s="13">
        <f>'Unit Price '!E113</f>
        <v>164400</v>
      </c>
      <c r="H406" s="13" t="s">
        <v>13</v>
      </c>
      <c r="I406" s="13" t="s">
        <v>8</v>
      </c>
      <c r="J406" s="13">
        <f>SUM(G406*B406)</f>
        <v>246600</v>
      </c>
      <c r="K406" s="13"/>
      <c r="L406" s="13"/>
      <c r="M406" s="13"/>
      <c r="N406" s="13"/>
      <c r="O406" s="13"/>
      <c r="P406" s="13"/>
      <c r="Q406" s="14"/>
      <c r="R406" s="13"/>
    </row>
    <row r="407" spans="2:18" ht="15.6" customHeight="1" x14ac:dyDescent="0.25">
      <c r="B407" s="36">
        <v>1.5</v>
      </c>
      <c r="C407" s="35" t="s">
        <v>72</v>
      </c>
      <c r="D407" s="29" t="s">
        <v>301</v>
      </c>
      <c r="E407" s="10" t="s">
        <v>15</v>
      </c>
      <c r="F407" s="10" t="s">
        <v>8</v>
      </c>
      <c r="G407" s="13">
        <f>'Unit Price '!E112</f>
        <v>178100</v>
      </c>
      <c r="H407" s="13" t="s">
        <v>13</v>
      </c>
      <c r="I407" s="13" t="s">
        <v>8</v>
      </c>
      <c r="J407" s="13">
        <f>SUM(G407*B407)</f>
        <v>267150</v>
      </c>
      <c r="K407" s="13"/>
      <c r="L407" s="13"/>
      <c r="M407" s="13"/>
      <c r="N407" s="13"/>
      <c r="O407" s="13"/>
      <c r="P407" s="13"/>
      <c r="Q407" s="14"/>
      <c r="R407" s="13"/>
    </row>
    <row r="408" spans="2:18" ht="15.6" customHeight="1" x14ac:dyDescent="0.25">
      <c r="B408" s="36">
        <v>1</v>
      </c>
      <c r="C408" s="35" t="s">
        <v>72</v>
      </c>
      <c r="D408" s="10" t="s">
        <v>230</v>
      </c>
      <c r="E408" s="10" t="s">
        <v>15</v>
      </c>
      <c r="F408" s="10" t="s">
        <v>8</v>
      </c>
      <c r="G408" s="13">
        <f>'Unit Price '!E120</f>
        <v>109600</v>
      </c>
      <c r="H408" s="13" t="s">
        <v>13</v>
      </c>
      <c r="I408" s="13" t="s">
        <v>8</v>
      </c>
      <c r="J408" s="13">
        <f>SUM(G408*B408)</f>
        <v>109600</v>
      </c>
      <c r="K408" s="13"/>
      <c r="L408" s="13"/>
      <c r="M408" s="13"/>
      <c r="N408" s="13"/>
      <c r="O408" s="13"/>
      <c r="P408" s="13"/>
      <c r="Q408" s="14"/>
      <c r="R408" s="13"/>
    </row>
    <row r="409" spans="2:18" ht="15.6" customHeight="1" x14ac:dyDescent="0.25">
      <c r="B409" s="36">
        <v>0.16</v>
      </c>
      <c r="C409" s="35" t="s">
        <v>72</v>
      </c>
      <c r="D409" s="381" t="s">
        <v>261</v>
      </c>
      <c r="E409" s="10" t="s">
        <v>15</v>
      </c>
      <c r="F409" s="10" t="s">
        <v>8</v>
      </c>
      <c r="G409" s="13">
        <f>'Unit Price '!E109</f>
        <v>178100</v>
      </c>
      <c r="H409" s="13" t="s">
        <v>13</v>
      </c>
      <c r="I409" s="13" t="s">
        <v>8</v>
      </c>
      <c r="J409" s="13">
        <f>SUM(G409*B409)</f>
        <v>28496</v>
      </c>
      <c r="K409" s="13"/>
      <c r="L409" s="13"/>
      <c r="M409" s="13"/>
      <c r="N409" s="13"/>
      <c r="O409" s="13"/>
      <c r="P409" s="13"/>
      <c r="Q409" s="14"/>
      <c r="R409" s="13"/>
    </row>
    <row r="410" spans="2:18" ht="15.6" customHeight="1" x14ac:dyDescent="0.25">
      <c r="B410" s="13"/>
      <c r="F410" s="13"/>
      <c r="G410" s="13" t="s">
        <v>228</v>
      </c>
      <c r="H410" s="13" t="s">
        <v>13</v>
      </c>
      <c r="I410" s="13" t="s">
        <v>8</v>
      </c>
      <c r="J410" s="13">
        <f>SUM(J406:J409)</f>
        <v>651846</v>
      </c>
      <c r="K410" s="13" t="s">
        <v>9</v>
      </c>
      <c r="L410" s="13" t="s">
        <v>8</v>
      </c>
      <c r="M410" s="13">
        <f>SUM(M403:M409)</f>
        <v>149706.75</v>
      </c>
      <c r="N410" s="13" t="s">
        <v>13</v>
      </c>
      <c r="O410" s="13" t="s">
        <v>8</v>
      </c>
      <c r="P410" s="13">
        <f>SUM(M410+J410)</f>
        <v>801552.75</v>
      </c>
      <c r="Q410" s="14"/>
      <c r="R410" s="13"/>
    </row>
    <row r="411" spans="2:18" ht="15.6" customHeight="1" x14ac:dyDescent="0.25">
      <c r="B411" s="13"/>
      <c r="G411" s="13" t="s">
        <v>228</v>
      </c>
      <c r="H411" s="13"/>
      <c r="I411" s="13"/>
      <c r="J411" s="13"/>
      <c r="K411" s="13"/>
      <c r="L411" s="13"/>
      <c r="M411" s="13"/>
      <c r="N411" s="13" t="s">
        <v>13</v>
      </c>
      <c r="O411" s="13" t="s">
        <v>8</v>
      </c>
      <c r="P411" s="13">
        <f>SUM(P410:P410)</f>
        <v>801552.75</v>
      </c>
      <c r="Q411" s="14"/>
      <c r="R411" s="13"/>
    </row>
    <row r="412" spans="2:18" ht="15.6" customHeight="1" x14ac:dyDescent="0.25">
      <c r="B412" s="13"/>
      <c r="G412" s="13" t="s">
        <v>205</v>
      </c>
      <c r="H412" s="13"/>
      <c r="I412" s="13"/>
      <c r="J412" s="13"/>
      <c r="K412" s="13"/>
      <c r="L412" s="13"/>
      <c r="M412" s="13"/>
      <c r="N412" s="13" t="s">
        <v>13</v>
      </c>
      <c r="O412" s="13" t="s">
        <v>8</v>
      </c>
      <c r="P412" s="16">
        <f>INT(P411/1)*1</f>
        <v>801552</v>
      </c>
      <c r="Q412" s="14"/>
      <c r="R412" s="13"/>
    </row>
    <row r="413" spans="2:18" ht="15.6" customHeight="1" x14ac:dyDescent="0.25">
      <c r="B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4"/>
      <c r="R413" s="13"/>
    </row>
    <row r="414" spans="2:18" ht="15.6" customHeight="1" x14ac:dyDescent="0.25">
      <c r="B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4"/>
      <c r="R414" s="13"/>
    </row>
    <row r="415" spans="2:18" ht="15.6" customHeight="1" x14ac:dyDescent="0.25">
      <c r="B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4"/>
      <c r="R415" s="13"/>
    </row>
    <row r="416" spans="2:18" ht="15.6" customHeight="1" x14ac:dyDescent="0.25">
      <c r="B416" s="13" t="s">
        <v>406</v>
      </c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4"/>
      <c r="R416" s="13"/>
    </row>
    <row r="417" spans="2:18" ht="15.6" customHeight="1" x14ac:dyDescent="0.25">
      <c r="B417" s="15">
        <v>1.2</v>
      </c>
      <c r="C417" s="10" t="s">
        <v>37</v>
      </c>
      <c r="D417" s="10" t="s">
        <v>348</v>
      </c>
      <c r="E417" s="10" t="s">
        <v>15</v>
      </c>
      <c r="F417" s="10" t="s">
        <v>8</v>
      </c>
      <c r="G417" s="13">
        <f>'Unit Price '!E83</f>
        <v>56512.5</v>
      </c>
      <c r="K417" s="13" t="s">
        <v>9</v>
      </c>
      <c r="L417" s="13" t="s">
        <v>8</v>
      </c>
      <c r="M417" s="13">
        <f>SUM(G417*B417)</f>
        <v>67815</v>
      </c>
      <c r="N417" s="13"/>
      <c r="O417" s="13"/>
      <c r="P417" s="13"/>
      <c r="Q417" s="14"/>
      <c r="R417" s="13"/>
    </row>
    <row r="418" spans="2:18" ht="15.6" customHeight="1" x14ac:dyDescent="0.25">
      <c r="B418" s="15">
        <v>0.35</v>
      </c>
      <c r="D418" s="10" t="s">
        <v>349</v>
      </c>
      <c r="E418" s="10" t="s">
        <v>15</v>
      </c>
      <c r="F418" s="10" t="s">
        <v>8</v>
      </c>
      <c r="G418" s="13">
        <f>B418*G417</f>
        <v>19779.375</v>
      </c>
      <c r="K418" s="13" t="s">
        <v>9</v>
      </c>
      <c r="L418" s="13" t="s">
        <v>8</v>
      </c>
      <c r="M418" s="13">
        <f>SUM(G418*B418)</f>
        <v>6922.78125</v>
      </c>
      <c r="N418" s="13"/>
      <c r="O418" s="13"/>
      <c r="P418" s="13"/>
      <c r="Q418" s="14"/>
      <c r="R418" s="13"/>
    </row>
    <row r="419" spans="2:18" ht="15.6" customHeight="1" x14ac:dyDescent="0.25">
      <c r="B419" s="15">
        <v>0.13500000000000001</v>
      </c>
      <c r="C419" s="10" t="s">
        <v>44</v>
      </c>
      <c r="D419" s="29" t="s">
        <v>296</v>
      </c>
      <c r="E419" s="10" t="s">
        <v>15</v>
      </c>
      <c r="F419" s="10" t="s">
        <v>8</v>
      </c>
      <c r="G419" s="13">
        <f>'Unit Price '!E113</f>
        <v>164400</v>
      </c>
      <c r="H419" s="13" t="s">
        <v>13</v>
      </c>
      <c r="I419" s="13" t="s">
        <v>8</v>
      </c>
      <c r="J419" s="13">
        <f>SUM(G419*B419)</f>
        <v>22194</v>
      </c>
      <c r="K419" s="13"/>
      <c r="L419" s="13"/>
      <c r="M419" s="13"/>
      <c r="N419" s="13"/>
      <c r="O419" s="13"/>
      <c r="P419" s="13"/>
      <c r="Q419" s="14"/>
      <c r="R419" s="13"/>
    </row>
    <row r="420" spans="2:18" ht="15.6" customHeight="1" x14ac:dyDescent="0.25">
      <c r="B420" s="42">
        <v>1.35E-2</v>
      </c>
      <c r="C420" s="10" t="s">
        <v>44</v>
      </c>
      <c r="D420" s="29" t="s">
        <v>301</v>
      </c>
      <c r="E420" s="10" t="s">
        <v>15</v>
      </c>
      <c r="F420" s="10" t="s">
        <v>8</v>
      </c>
      <c r="G420" s="13">
        <f>'Unit Price '!E112</f>
        <v>178100</v>
      </c>
      <c r="H420" s="13" t="s">
        <v>13</v>
      </c>
      <c r="I420" s="13" t="s">
        <v>8</v>
      </c>
      <c r="J420" s="13">
        <f>SUM(G420*B420)</f>
        <v>2404.35</v>
      </c>
      <c r="K420" s="13"/>
      <c r="L420" s="13"/>
      <c r="M420" s="13"/>
      <c r="N420" s="13"/>
      <c r="O420" s="13"/>
      <c r="P420" s="13"/>
      <c r="Q420" s="14"/>
      <c r="R420" s="13"/>
    </row>
    <row r="421" spans="2:18" ht="15.6" customHeight="1" x14ac:dyDescent="0.25">
      <c r="B421" s="15">
        <v>8.1000000000000003E-2</v>
      </c>
      <c r="C421" s="10" t="s">
        <v>44</v>
      </c>
      <c r="D421" s="10" t="s">
        <v>230</v>
      </c>
      <c r="E421" s="10" t="s">
        <v>15</v>
      </c>
      <c r="F421" s="10" t="s">
        <v>8</v>
      </c>
      <c r="G421" s="13">
        <f>'Unit Price '!E120</f>
        <v>109600</v>
      </c>
      <c r="H421" s="13" t="s">
        <v>13</v>
      </c>
      <c r="I421" s="13" t="s">
        <v>8</v>
      </c>
      <c r="J421" s="13">
        <f>SUM(G421*B421)</f>
        <v>8877.6</v>
      </c>
      <c r="K421" s="13"/>
      <c r="L421" s="13"/>
      <c r="M421" s="13"/>
      <c r="N421" s="13"/>
      <c r="O421" s="13"/>
      <c r="P421" s="13"/>
      <c r="Q421" s="14"/>
      <c r="R421" s="13"/>
    </row>
    <row r="422" spans="2:18" ht="15.6" customHeight="1" x14ac:dyDescent="0.25">
      <c r="B422" s="15">
        <v>4.1000000000000002E-2</v>
      </c>
      <c r="C422" s="10" t="s">
        <v>44</v>
      </c>
      <c r="D422" s="381" t="s">
        <v>261</v>
      </c>
      <c r="E422" s="10" t="s">
        <v>15</v>
      </c>
      <c r="F422" s="10" t="s">
        <v>8</v>
      </c>
      <c r="G422" s="13">
        <f>'Unit Price '!E109</f>
        <v>178100</v>
      </c>
      <c r="H422" s="13" t="s">
        <v>13</v>
      </c>
      <c r="I422" s="13" t="s">
        <v>8</v>
      </c>
      <c r="J422" s="13">
        <f>SUM(G422*B422)</f>
        <v>7302.1</v>
      </c>
      <c r="K422" s="13"/>
      <c r="L422" s="13"/>
      <c r="M422" s="13"/>
      <c r="N422" s="13"/>
      <c r="O422" s="13"/>
      <c r="P422" s="13"/>
      <c r="Q422" s="14"/>
      <c r="R422" s="13"/>
    </row>
    <row r="423" spans="2:18" ht="15.6" customHeight="1" x14ac:dyDescent="0.25">
      <c r="B423" s="13"/>
      <c r="F423" s="13"/>
      <c r="G423" s="13" t="s">
        <v>228</v>
      </c>
      <c r="H423" s="13" t="s">
        <v>13</v>
      </c>
      <c r="I423" s="13" t="s">
        <v>8</v>
      </c>
      <c r="J423" s="13">
        <f>SUM(J419:J422)</f>
        <v>40778.049999999996</v>
      </c>
      <c r="K423" s="13" t="s">
        <v>9</v>
      </c>
      <c r="L423" s="13" t="s">
        <v>8</v>
      </c>
      <c r="M423" s="13">
        <f>SUM(M417:M422)</f>
        <v>74737.78125</v>
      </c>
      <c r="N423" s="13" t="s">
        <v>13</v>
      </c>
      <c r="O423" s="13" t="s">
        <v>8</v>
      </c>
      <c r="P423" s="13">
        <f>SUM(M423+J423)</f>
        <v>115515.83124999999</v>
      </c>
      <c r="Q423" s="14"/>
      <c r="R423" s="13"/>
    </row>
    <row r="424" spans="2:18" ht="15.6" customHeight="1" x14ac:dyDescent="0.25">
      <c r="B424" s="13"/>
      <c r="G424" s="13" t="s">
        <v>228</v>
      </c>
      <c r="H424" s="13"/>
      <c r="I424" s="13"/>
      <c r="J424" s="13"/>
      <c r="K424" s="13"/>
      <c r="L424" s="13"/>
      <c r="M424" s="13"/>
      <c r="N424" s="13" t="s">
        <v>13</v>
      </c>
      <c r="O424" s="13" t="s">
        <v>8</v>
      </c>
      <c r="P424" s="13">
        <f>SUM(P423:P423)</f>
        <v>115515.83124999999</v>
      </c>
      <c r="Q424" s="14"/>
      <c r="R424" s="13"/>
    </row>
    <row r="425" spans="2:18" ht="15.6" customHeight="1" x14ac:dyDescent="0.25">
      <c r="B425" s="13"/>
      <c r="G425" s="13" t="s">
        <v>205</v>
      </c>
      <c r="H425" s="13"/>
      <c r="I425" s="13"/>
      <c r="J425" s="13"/>
      <c r="K425" s="13"/>
      <c r="L425" s="13"/>
      <c r="M425" s="13"/>
      <c r="N425" s="13" t="s">
        <v>13</v>
      </c>
      <c r="O425" s="13" t="s">
        <v>8</v>
      </c>
      <c r="P425" s="16">
        <f>INT(P424/1)*1</f>
        <v>115515</v>
      </c>
      <c r="Q425" s="14"/>
      <c r="R425" s="13"/>
    </row>
    <row r="426" spans="2:18" ht="15.6" customHeight="1" x14ac:dyDescent="0.25">
      <c r="B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4"/>
      <c r="R426" s="13"/>
    </row>
    <row r="427" spans="2:18" ht="15.6" customHeight="1" x14ac:dyDescent="0.25">
      <c r="B427" s="13" t="s">
        <v>407</v>
      </c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4"/>
      <c r="R427" s="13"/>
    </row>
    <row r="428" spans="2:18" ht="15.6" customHeight="1" x14ac:dyDescent="0.25">
      <c r="B428" s="15">
        <v>1.2</v>
      </c>
      <c r="C428" s="10" t="s">
        <v>37</v>
      </c>
      <c r="D428" s="10" t="s">
        <v>350</v>
      </c>
      <c r="E428" s="10" t="s">
        <v>15</v>
      </c>
      <c r="F428" s="10" t="s">
        <v>8</v>
      </c>
      <c r="G428" s="13">
        <f>'Unit Price '!E84</f>
        <v>39730</v>
      </c>
      <c r="K428" s="13" t="s">
        <v>9</v>
      </c>
      <c r="L428" s="13" t="s">
        <v>8</v>
      </c>
      <c r="M428" s="13">
        <f>SUM(G428*B428)</f>
        <v>47676</v>
      </c>
      <c r="N428" s="13"/>
      <c r="O428" s="13"/>
      <c r="P428" s="13"/>
      <c r="Q428" s="14"/>
      <c r="R428" s="13"/>
    </row>
    <row r="429" spans="2:18" ht="15.6" customHeight="1" x14ac:dyDescent="0.25">
      <c r="B429" s="15">
        <v>0.35</v>
      </c>
      <c r="D429" s="10" t="s">
        <v>349</v>
      </c>
      <c r="E429" s="10" t="s">
        <v>15</v>
      </c>
      <c r="F429" s="10" t="s">
        <v>8</v>
      </c>
      <c r="G429" s="13">
        <f>B429*G428</f>
        <v>13905.5</v>
      </c>
      <c r="K429" s="13" t="s">
        <v>9</v>
      </c>
      <c r="L429" s="13" t="s">
        <v>8</v>
      </c>
      <c r="M429" s="13">
        <f>SUM(G429*B429)</f>
        <v>4866.9249999999993</v>
      </c>
      <c r="N429" s="13"/>
      <c r="O429" s="13"/>
      <c r="P429" s="13"/>
      <c r="Q429" s="14"/>
      <c r="R429" s="13"/>
    </row>
    <row r="430" spans="2:18" ht="15.6" customHeight="1" x14ac:dyDescent="0.25">
      <c r="B430" s="15">
        <v>0.13500000000000001</v>
      </c>
      <c r="C430" s="10" t="s">
        <v>44</v>
      </c>
      <c r="D430" s="29" t="s">
        <v>296</v>
      </c>
      <c r="E430" s="10" t="s">
        <v>15</v>
      </c>
      <c r="F430" s="10" t="s">
        <v>8</v>
      </c>
      <c r="G430" s="13">
        <f>G419</f>
        <v>164400</v>
      </c>
      <c r="H430" s="13" t="s">
        <v>13</v>
      </c>
      <c r="I430" s="13" t="s">
        <v>8</v>
      </c>
      <c r="J430" s="13">
        <f>SUM(G430*B430)</f>
        <v>22194</v>
      </c>
      <c r="K430" s="13"/>
      <c r="L430" s="13"/>
      <c r="M430" s="13"/>
      <c r="N430" s="13"/>
      <c r="O430" s="13"/>
      <c r="P430" s="13"/>
      <c r="Q430" s="14"/>
      <c r="R430" s="13"/>
    </row>
    <row r="431" spans="2:18" ht="15.6" customHeight="1" x14ac:dyDescent="0.25">
      <c r="B431" s="42">
        <v>1.35E-2</v>
      </c>
      <c r="C431" s="10" t="s">
        <v>44</v>
      </c>
      <c r="D431" s="29" t="s">
        <v>301</v>
      </c>
      <c r="E431" s="10" t="s">
        <v>15</v>
      </c>
      <c r="F431" s="10" t="s">
        <v>8</v>
      </c>
      <c r="G431" s="13">
        <f>G420</f>
        <v>178100</v>
      </c>
      <c r="H431" s="13" t="s">
        <v>13</v>
      </c>
      <c r="I431" s="13" t="s">
        <v>8</v>
      </c>
      <c r="J431" s="13">
        <f>SUM(G431*B431)</f>
        <v>2404.35</v>
      </c>
      <c r="K431" s="13"/>
      <c r="L431" s="13"/>
      <c r="M431" s="13"/>
      <c r="N431" s="13"/>
      <c r="O431" s="13"/>
      <c r="P431" s="13"/>
      <c r="Q431" s="14"/>
      <c r="R431" s="13"/>
    </row>
    <row r="432" spans="2:18" ht="15.6" customHeight="1" x14ac:dyDescent="0.25">
      <c r="B432" s="15">
        <v>8.1000000000000003E-2</v>
      </c>
      <c r="C432" s="10" t="s">
        <v>44</v>
      </c>
      <c r="D432" s="10" t="s">
        <v>230</v>
      </c>
      <c r="E432" s="10" t="s">
        <v>15</v>
      </c>
      <c r="F432" s="10" t="s">
        <v>8</v>
      </c>
      <c r="G432" s="13">
        <f>G421</f>
        <v>109600</v>
      </c>
      <c r="H432" s="13" t="s">
        <v>13</v>
      </c>
      <c r="I432" s="13" t="s">
        <v>8</v>
      </c>
      <c r="J432" s="13">
        <f>SUM(G432*B432)</f>
        <v>8877.6</v>
      </c>
      <c r="K432" s="13"/>
      <c r="L432" s="13"/>
      <c r="M432" s="13"/>
      <c r="N432" s="13"/>
      <c r="O432" s="13"/>
      <c r="P432" s="13"/>
      <c r="Q432" s="14"/>
      <c r="R432" s="13"/>
    </row>
    <row r="433" spans="2:18" ht="15.6" customHeight="1" x14ac:dyDescent="0.25">
      <c r="B433" s="15">
        <v>4.1000000000000002E-2</v>
      </c>
      <c r="C433" s="10" t="s">
        <v>44</v>
      </c>
      <c r="D433" s="381" t="s">
        <v>261</v>
      </c>
      <c r="E433" s="10" t="s">
        <v>15</v>
      </c>
      <c r="F433" s="10" t="s">
        <v>8</v>
      </c>
      <c r="G433" s="13">
        <f>G422</f>
        <v>178100</v>
      </c>
      <c r="H433" s="13" t="s">
        <v>13</v>
      </c>
      <c r="I433" s="13" t="s">
        <v>8</v>
      </c>
      <c r="J433" s="13">
        <f>SUM(G433*B433)</f>
        <v>7302.1</v>
      </c>
      <c r="K433" s="13"/>
      <c r="L433" s="13"/>
      <c r="M433" s="13"/>
      <c r="N433" s="13"/>
      <c r="O433" s="13"/>
      <c r="P433" s="13"/>
      <c r="Q433" s="14"/>
      <c r="R433" s="13"/>
    </row>
    <row r="434" spans="2:18" ht="15.6" customHeight="1" x14ac:dyDescent="0.25">
      <c r="B434" s="13"/>
      <c r="F434" s="13"/>
      <c r="G434" s="13" t="s">
        <v>228</v>
      </c>
      <c r="H434" s="13" t="s">
        <v>13</v>
      </c>
      <c r="I434" s="13" t="s">
        <v>8</v>
      </c>
      <c r="J434" s="13">
        <f>SUM(J428:J433)</f>
        <v>40778.049999999996</v>
      </c>
      <c r="K434" s="13" t="s">
        <v>9</v>
      </c>
      <c r="L434" s="13" t="s">
        <v>8</v>
      </c>
      <c r="M434" s="13">
        <f>SUM(M428:M433)</f>
        <v>52542.925000000003</v>
      </c>
      <c r="N434" s="13" t="s">
        <v>13</v>
      </c>
      <c r="O434" s="13" t="s">
        <v>8</v>
      </c>
      <c r="P434" s="13">
        <f>SUM(M434+J434)</f>
        <v>93320.975000000006</v>
      </c>
      <c r="Q434" s="14"/>
      <c r="R434" s="13"/>
    </row>
    <row r="435" spans="2:18" ht="15.6" customHeight="1" x14ac:dyDescent="0.25">
      <c r="B435" s="13"/>
      <c r="G435" s="13" t="s">
        <v>228</v>
      </c>
      <c r="H435" s="13"/>
      <c r="I435" s="13"/>
      <c r="J435" s="13"/>
      <c r="K435" s="13"/>
      <c r="L435" s="13"/>
      <c r="M435" s="13"/>
      <c r="N435" s="13" t="s">
        <v>13</v>
      </c>
      <c r="O435" s="13" t="s">
        <v>8</v>
      </c>
      <c r="P435" s="13">
        <f>SUM(P434:P434)</f>
        <v>93320.975000000006</v>
      </c>
      <c r="Q435" s="14"/>
      <c r="R435" s="13"/>
    </row>
    <row r="436" spans="2:18" ht="15.6" customHeight="1" x14ac:dyDescent="0.25">
      <c r="B436" s="13"/>
      <c r="G436" s="13" t="s">
        <v>205</v>
      </c>
      <c r="H436" s="13"/>
      <c r="I436" s="13"/>
      <c r="J436" s="13"/>
      <c r="K436" s="13"/>
      <c r="L436" s="13"/>
      <c r="M436" s="13"/>
      <c r="N436" s="13" t="s">
        <v>13</v>
      </c>
      <c r="O436" s="13" t="s">
        <v>8</v>
      </c>
      <c r="P436" s="16">
        <f>INT(P435/1)*1</f>
        <v>93320</v>
      </c>
      <c r="Q436" s="14"/>
      <c r="R436" s="13"/>
    </row>
    <row r="437" spans="2:18" ht="15.6" customHeight="1" x14ac:dyDescent="0.25">
      <c r="B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4"/>
      <c r="R437" s="13"/>
    </row>
    <row r="438" spans="2:18" ht="15.6" customHeight="1" x14ac:dyDescent="0.25">
      <c r="B438" s="13" t="s">
        <v>408</v>
      </c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4"/>
      <c r="R438" s="13"/>
    </row>
    <row r="439" spans="2:18" ht="15.6" customHeight="1" x14ac:dyDescent="0.25">
      <c r="B439" s="15">
        <v>1.2</v>
      </c>
      <c r="C439" s="10" t="s">
        <v>37</v>
      </c>
      <c r="D439" s="10" t="s">
        <v>351</v>
      </c>
      <c r="E439" s="10" t="s">
        <v>15</v>
      </c>
      <c r="F439" s="10" t="s">
        <v>8</v>
      </c>
      <c r="G439" s="13">
        <f>'Unit Price '!E85</f>
        <v>17467.5</v>
      </c>
      <c r="K439" s="13" t="s">
        <v>9</v>
      </c>
      <c r="L439" s="13" t="s">
        <v>8</v>
      </c>
      <c r="M439" s="13">
        <f>SUM(G439*B439)</f>
        <v>20961</v>
      </c>
      <c r="N439" s="13"/>
      <c r="O439" s="13"/>
      <c r="P439" s="13"/>
      <c r="Q439" s="14"/>
      <c r="R439" s="13"/>
    </row>
    <row r="440" spans="2:18" ht="15.6" customHeight="1" x14ac:dyDescent="0.25">
      <c r="B440" s="15">
        <v>0.35</v>
      </c>
      <c r="D440" s="10" t="s">
        <v>349</v>
      </c>
      <c r="E440" s="10" t="s">
        <v>15</v>
      </c>
      <c r="F440" s="10" t="s">
        <v>8</v>
      </c>
      <c r="G440" s="13">
        <f>B440*G439</f>
        <v>6113.625</v>
      </c>
      <c r="K440" s="13" t="s">
        <v>9</v>
      </c>
      <c r="L440" s="13" t="s">
        <v>8</v>
      </c>
      <c r="M440" s="13">
        <f>SUM(G440*B440)</f>
        <v>2139.7687499999997</v>
      </c>
      <c r="N440" s="13"/>
      <c r="O440" s="13"/>
      <c r="P440" s="13"/>
      <c r="Q440" s="14"/>
      <c r="R440" s="13"/>
    </row>
    <row r="441" spans="2:18" ht="15.6" customHeight="1" x14ac:dyDescent="0.25">
      <c r="B441" s="15">
        <v>0.13500000000000001</v>
      </c>
      <c r="C441" s="10" t="s">
        <v>44</v>
      </c>
      <c r="D441" s="29" t="s">
        <v>296</v>
      </c>
      <c r="E441" s="10" t="s">
        <v>15</v>
      </c>
      <c r="F441" s="10" t="s">
        <v>8</v>
      </c>
      <c r="G441" s="13">
        <f>G430</f>
        <v>164400</v>
      </c>
      <c r="H441" s="13" t="s">
        <v>13</v>
      </c>
      <c r="I441" s="13" t="s">
        <v>8</v>
      </c>
      <c r="J441" s="13">
        <f>SUM(G441*B441)</f>
        <v>22194</v>
      </c>
      <c r="K441" s="13"/>
      <c r="L441" s="13"/>
      <c r="M441" s="13"/>
      <c r="N441" s="13"/>
      <c r="O441" s="13"/>
      <c r="P441" s="13"/>
      <c r="Q441" s="14"/>
      <c r="R441" s="13"/>
    </row>
    <row r="442" spans="2:18" ht="15.6" customHeight="1" x14ac:dyDescent="0.25">
      <c r="B442" s="42">
        <v>1.35E-2</v>
      </c>
      <c r="C442" s="10" t="s">
        <v>44</v>
      </c>
      <c r="D442" s="29" t="s">
        <v>301</v>
      </c>
      <c r="E442" s="10" t="s">
        <v>15</v>
      </c>
      <c r="F442" s="10" t="s">
        <v>8</v>
      </c>
      <c r="G442" s="13">
        <f>G431</f>
        <v>178100</v>
      </c>
      <c r="H442" s="13" t="s">
        <v>13</v>
      </c>
      <c r="I442" s="13" t="s">
        <v>8</v>
      </c>
      <c r="J442" s="13">
        <f>SUM(G442*B442)</f>
        <v>2404.35</v>
      </c>
      <c r="K442" s="13"/>
      <c r="L442" s="13"/>
      <c r="M442" s="13"/>
      <c r="N442" s="13"/>
      <c r="O442" s="13"/>
      <c r="P442" s="13"/>
      <c r="Q442" s="14"/>
      <c r="R442" s="13"/>
    </row>
    <row r="443" spans="2:18" ht="15.6" customHeight="1" x14ac:dyDescent="0.25">
      <c r="B443" s="15">
        <v>8.1000000000000003E-2</v>
      </c>
      <c r="C443" s="10" t="s">
        <v>44</v>
      </c>
      <c r="D443" s="10" t="s">
        <v>230</v>
      </c>
      <c r="E443" s="10" t="s">
        <v>15</v>
      </c>
      <c r="F443" s="10" t="s">
        <v>8</v>
      </c>
      <c r="G443" s="13">
        <f>G432</f>
        <v>109600</v>
      </c>
      <c r="H443" s="13" t="s">
        <v>13</v>
      </c>
      <c r="I443" s="13" t="s">
        <v>8</v>
      </c>
      <c r="J443" s="13">
        <f>SUM(G443*B443)</f>
        <v>8877.6</v>
      </c>
      <c r="K443" s="13"/>
      <c r="L443" s="13"/>
      <c r="M443" s="13"/>
      <c r="N443" s="13"/>
      <c r="O443" s="13"/>
      <c r="P443" s="13"/>
      <c r="Q443" s="14"/>
      <c r="R443" s="13"/>
    </row>
    <row r="444" spans="2:18" ht="15.6" customHeight="1" x14ac:dyDescent="0.25">
      <c r="B444" s="15">
        <v>4.1000000000000002E-2</v>
      </c>
      <c r="C444" s="10" t="s">
        <v>44</v>
      </c>
      <c r="D444" s="381" t="s">
        <v>261</v>
      </c>
      <c r="E444" s="10" t="s">
        <v>15</v>
      </c>
      <c r="F444" s="10" t="s">
        <v>8</v>
      </c>
      <c r="G444" s="13">
        <f>G433</f>
        <v>178100</v>
      </c>
      <c r="H444" s="13" t="s">
        <v>13</v>
      </c>
      <c r="I444" s="13" t="s">
        <v>8</v>
      </c>
      <c r="J444" s="13">
        <f>SUM(G444*B444)</f>
        <v>7302.1</v>
      </c>
      <c r="K444" s="13"/>
      <c r="L444" s="13"/>
      <c r="M444" s="13"/>
      <c r="N444" s="13"/>
      <c r="O444" s="13"/>
      <c r="P444" s="13"/>
      <c r="Q444" s="14"/>
      <c r="R444" s="13"/>
    </row>
    <row r="445" spans="2:18" ht="15.6" customHeight="1" x14ac:dyDescent="0.25">
      <c r="B445" s="13"/>
      <c r="F445" s="13"/>
      <c r="G445" s="13" t="s">
        <v>228</v>
      </c>
      <c r="H445" s="13" t="s">
        <v>13</v>
      </c>
      <c r="I445" s="13" t="s">
        <v>8</v>
      </c>
      <c r="J445" s="13">
        <f>SUM(J439:J444)</f>
        <v>40778.049999999996</v>
      </c>
      <c r="K445" s="13" t="s">
        <v>9</v>
      </c>
      <c r="L445" s="13" t="s">
        <v>8</v>
      </c>
      <c r="M445" s="13">
        <f>SUM(M439:M444)</f>
        <v>23100.768749999999</v>
      </c>
      <c r="N445" s="13" t="s">
        <v>13</v>
      </c>
      <c r="O445" s="13" t="s">
        <v>8</v>
      </c>
      <c r="P445" s="13">
        <f>SUM(M445+J445)</f>
        <v>63878.818749999991</v>
      </c>
      <c r="Q445" s="14"/>
      <c r="R445" s="13"/>
    </row>
    <row r="446" spans="2:18" ht="15.6" customHeight="1" x14ac:dyDescent="0.25">
      <c r="B446" s="13"/>
      <c r="G446" s="13" t="s">
        <v>228</v>
      </c>
      <c r="H446" s="13"/>
      <c r="I446" s="13"/>
      <c r="J446" s="13"/>
      <c r="K446" s="13"/>
      <c r="L446" s="13"/>
      <c r="M446" s="13"/>
      <c r="N446" s="13" t="s">
        <v>13</v>
      </c>
      <c r="O446" s="13" t="s">
        <v>8</v>
      </c>
      <c r="P446" s="13">
        <f>SUM(P445:P445)</f>
        <v>63878.818749999991</v>
      </c>
      <c r="Q446" s="14"/>
      <c r="R446" s="13"/>
    </row>
    <row r="447" spans="2:18" ht="15.6" customHeight="1" x14ac:dyDescent="0.25">
      <c r="B447" s="13"/>
      <c r="G447" s="13" t="s">
        <v>205</v>
      </c>
      <c r="H447" s="13"/>
      <c r="I447" s="13"/>
      <c r="J447" s="13"/>
      <c r="K447" s="13"/>
      <c r="L447" s="13"/>
      <c r="M447" s="13"/>
      <c r="N447" s="13" t="s">
        <v>13</v>
      </c>
      <c r="O447" s="13" t="s">
        <v>8</v>
      </c>
      <c r="P447" s="16">
        <f>INT(P446/1)*1</f>
        <v>63878</v>
      </c>
      <c r="Q447" s="14"/>
      <c r="R447" s="13"/>
    </row>
    <row r="448" spans="2:18" ht="15.6" customHeight="1" x14ac:dyDescent="0.25">
      <c r="B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4"/>
      <c r="R448" s="13"/>
    </row>
    <row r="449" spans="2:20" ht="15.6" customHeight="1" x14ac:dyDescent="0.25">
      <c r="B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4"/>
      <c r="R449" s="13"/>
    </row>
    <row r="450" spans="2:20" ht="15.6" customHeight="1" x14ac:dyDescent="0.25">
      <c r="B450" s="13" t="s">
        <v>409</v>
      </c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4"/>
      <c r="R450" s="13"/>
    </row>
    <row r="451" spans="2:20" ht="15.6" customHeight="1" x14ac:dyDescent="0.25">
      <c r="B451" s="15">
        <v>1.2</v>
      </c>
      <c r="C451" s="10" t="s">
        <v>37</v>
      </c>
      <c r="D451" s="10" t="s">
        <v>352</v>
      </c>
      <c r="E451" s="10" t="s">
        <v>15</v>
      </c>
      <c r="F451" s="10" t="s">
        <v>8</v>
      </c>
      <c r="G451" s="13">
        <f>'Unit Price '!E86</f>
        <v>11645</v>
      </c>
      <c r="K451" s="13" t="s">
        <v>9</v>
      </c>
      <c r="L451" s="13" t="s">
        <v>8</v>
      </c>
      <c r="M451" s="13">
        <f>SUM(G451*B451)</f>
        <v>13974</v>
      </c>
      <c r="N451" s="13"/>
      <c r="O451" s="13"/>
      <c r="P451" s="13"/>
      <c r="Q451" s="14"/>
      <c r="R451" s="13"/>
    </row>
    <row r="452" spans="2:20" ht="15.6" customHeight="1" x14ac:dyDescent="0.25">
      <c r="B452" s="15">
        <v>0.35</v>
      </c>
      <c r="D452" s="10" t="s">
        <v>349</v>
      </c>
      <c r="E452" s="10" t="s">
        <v>15</v>
      </c>
      <c r="F452" s="10" t="s">
        <v>8</v>
      </c>
      <c r="G452" s="13">
        <f>B452*G451</f>
        <v>4075.7499999999995</v>
      </c>
      <c r="K452" s="13" t="s">
        <v>9</v>
      </c>
      <c r="L452" s="13" t="s">
        <v>8</v>
      </c>
      <c r="M452" s="13">
        <f>SUM(G452*B452)</f>
        <v>1426.5124999999998</v>
      </c>
      <c r="N452" s="13"/>
      <c r="O452" s="13"/>
      <c r="P452" s="13"/>
      <c r="Q452" s="14"/>
      <c r="R452" s="13"/>
    </row>
    <row r="453" spans="2:20" ht="15.6" customHeight="1" x14ac:dyDescent="0.25">
      <c r="B453" s="15">
        <v>0.13500000000000001</v>
      </c>
      <c r="C453" s="10" t="s">
        <v>44</v>
      </c>
      <c r="D453" s="29" t="s">
        <v>296</v>
      </c>
      <c r="E453" s="10" t="s">
        <v>15</v>
      </c>
      <c r="F453" s="10" t="s">
        <v>8</v>
      </c>
      <c r="G453" s="13">
        <f>G441</f>
        <v>164400</v>
      </c>
      <c r="H453" s="13" t="s">
        <v>13</v>
      </c>
      <c r="I453" s="13" t="s">
        <v>8</v>
      </c>
      <c r="J453" s="13">
        <f>SUM(G453*B453)</f>
        <v>22194</v>
      </c>
      <c r="K453" s="13"/>
      <c r="L453" s="13"/>
      <c r="M453" s="13"/>
      <c r="N453" s="13"/>
      <c r="O453" s="13"/>
      <c r="P453" s="13"/>
      <c r="Q453" s="14"/>
      <c r="R453" s="13"/>
    </row>
    <row r="454" spans="2:20" ht="15.6" customHeight="1" x14ac:dyDescent="0.25">
      <c r="B454" s="42">
        <v>1.35E-2</v>
      </c>
      <c r="C454" s="10" t="s">
        <v>44</v>
      </c>
      <c r="D454" s="29" t="s">
        <v>301</v>
      </c>
      <c r="E454" s="10" t="s">
        <v>15</v>
      </c>
      <c r="F454" s="10" t="s">
        <v>8</v>
      </c>
      <c r="G454" s="13">
        <f>G442</f>
        <v>178100</v>
      </c>
      <c r="H454" s="13" t="s">
        <v>13</v>
      </c>
      <c r="I454" s="13" t="s">
        <v>8</v>
      </c>
      <c r="J454" s="13">
        <f>SUM(G454*B454)</f>
        <v>2404.35</v>
      </c>
      <c r="K454" s="13"/>
      <c r="L454" s="13"/>
      <c r="M454" s="13"/>
      <c r="N454" s="13"/>
      <c r="O454" s="13"/>
      <c r="P454" s="13"/>
      <c r="Q454" s="14"/>
      <c r="R454" s="13"/>
    </row>
    <row r="455" spans="2:20" ht="15.6" customHeight="1" x14ac:dyDescent="0.25">
      <c r="B455" s="15">
        <v>8.1000000000000003E-2</v>
      </c>
      <c r="C455" s="10" t="s">
        <v>44</v>
      </c>
      <c r="D455" s="10" t="s">
        <v>230</v>
      </c>
      <c r="E455" s="10" t="s">
        <v>15</v>
      </c>
      <c r="F455" s="10" t="s">
        <v>8</v>
      </c>
      <c r="G455" s="13">
        <f>G443</f>
        <v>109600</v>
      </c>
      <c r="H455" s="13" t="s">
        <v>13</v>
      </c>
      <c r="I455" s="13" t="s">
        <v>8</v>
      </c>
      <c r="J455" s="13">
        <f>SUM(G455*B455)</f>
        <v>8877.6</v>
      </c>
      <c r="K455" s="13"/>
      <c r="L455" s="13"/>
      <c r="M455" s="13"/>
      <c r="N455" s="13"/>
      <c r="O455" s="13"/>
      <c r="P455" s="13"/>
      <c r="Q455" s="14"/>
      <c r="R455" s="13"/>
    </row>
    <row r="456" spans="2:20" ht="15.6" customHeight="1" x14ac:dyDescent="0.25">
      <c r="B456" s="15">
        <v>4.1000000000000002E-2</v>
      </c>
      <c r="C456" s="10" t="s">
        <v>44</v>
      </c>
      <c r="D456" s="381" t="s">
        <v>261</v>
      </c>
      <c r="E456" s="10" t="s">
        <v>15</v>
      </c>
      <c r="F456" s="10" t="s">
        <v>8</v>
      </c>
      <c r="G456" s="13">
        <f>G444</f>
        <v>178100</v>
      </c>
      <c r="H456" s="13" t="s">
        <v>13</v>
      </c>
      <c r="I456" s="13" t="s">
        <v>8</v>
      </c>
      <c r="J456" s="13">
        <f>SUM(G456*B456)</f>
        <v>7302.1</v>
      </c>
      <c r="K456" s="13"/>
      <c r="L456" s="13"/>
      <c r="M456" s="13"/>
      <c r="N456" s="13"/>
      <c r="O456" s="13"/>
      <c r="P456" s="13"/>
      <c r="Q456" s="14"/>
      <c r="R456" s="13"/>
    </row>
    <row r="457" spans="2:20" ht="15.6" customHeight="1" x14ac:dyDescent="0.25">
      <c r="B457" s="13"/>
      <c r="F457" s="13"/>
      <c r="G457" s="13" t="s">
        <v>228</v>
      </c>
      <c r="H457" s="13" t="s">
        <v>13</v>
      </c>
      <c r="I457" s="13" t="s">
        <v>8</v>
      </c>
      <c r="J457" s="13">
        <f>SUM(J451:J456)</f>
        <v>40778.049999999996</v>
      </c>
      <c r="K457" s="13" t="s">
        <v>9</v>
      </c>
      <c r="L457" s="13" t="s">
        <v>8</v>
      </c>
      <c r="M457" s="13">
        <f>SUM(M451:M456)</f>
        <v>15400.512500000001</v>
      </c>
      <c r="N457" s="13" t="s">
        <v>13</v>
      </c>
      <c r="O457" s="13" t="s">
        <v>8</v>
      </c>
      <c r="P457" s="13">
        <f>SUM(M457+J457)</f>
        <v>56178.5625</v>
      </c>
      <c r="Q457" s="14"/>
      <c r="R457" s="13"/>
    </row>
    <row r="458" spans="2:20" ht="15.6" customHeight="1" x14ac:dyDescent="0.25">
      <c r="B458" s="13"/>
      <c r="G458" s="13" t="s">
        <v>228</v>
      </c>
      <c r="H458" s="13"/>
      <c r="I458" s="13"/>
      <c r="J458" s="13"/>
      <c r="K458" s="13"/>
      <c r="L458" s="13"/>
      <c r="M458" s="13"/>
      <c r="N458" s="13" t="s">
        <v>13</v>
      </c>
      <c r="O458" s="13" t="s">
        <v>8</v>
      </c>
      <c r="P458" s="13">
        <f>SUM(P457:P457)</f>
        <v>56178.5625</v>
      </c>
      <c r="Q458" s="14"/>
      <c r="R458" s="13"/>
    </row>
    <row r="459" spans="2:20" ht="15.6" customHeight="1" x14ac:dyDescent="0.25">
      <c r="B459" s="13"/>
      <c r="G459" s="13" t="s">
        <v>205</v>
      </c>
      <c r="H459" s="13"/>
      <c r="I459" s="13"/>
      <c r="J459" s="13"/>
      <c r="K459" s="13"/>
      <c r="L459" s="13"/>
      <c r="M459" s="13"/>
      <c r="N459" s="13" t="s">
        <v>13</v>
      </c>
      <c r="O459" s="13" t="s">
        <v>8</v>
      </c>
      <c r="P459" s="16">
        <f>INT(P458/1)*1</f>
        <v>56178</v>
      </c>
      <c r="Q459" s="14"/>
      <c r="R459" s="13"/>
    </row>
    <row r="460" spans="2:20" ht="15.6" customHeight="1" x14ac:dyDescent="0.25">
      <c r="B460" s="37"/>
      <c r="C460" s="29"/>
      <c r="D460" s="29"/>
      <c r="E460" s="43"/>
      <c r="F460" s="35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30"/>
      <c r="R460" s="28"/>
      <c r="S460" s="29"/>
      <c r="T460" s="29"/>
    </row>
    <row r="461" spans="2:20" ht="15.6" customHeight="1" x14ac:dyDescent="0.25">
      <c r="B461" s="37" t="s">
        <v>410</v>
      </c>
      <c r="C461" s="29"/>
      <c r="D461" s="29"/>
      <c r="E461" s="43"/>
      <c r="F461" s="35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30"/>
      <c r="R461" s="28"/>
      <c r="S461" s="29"/>
      <c r="T461" s="29"/>
    </row>
    <row r="462" spans="2:20" ht="15.6" customHeight="1" x14ac:dyDescent="0.25">
      <c r="B462" s="37">
        <v>1</v>
      </c>
      <c r="C462" s="29" t="s">
        <v>22</v>
      </c>
      <c r="D462" s="385" t="s">
        <v>353</v>
      </c>
      <c r="E462" s="43" t="s">
        <v>15</v>
      </c>
      <c r="F462" s="35" t="s">
        <v>8</v>
      </c>
      <c r="G462" s="28">
        <f>'Unit Price '!E89</f>
        <v>54800</v>
      </c>
      <c r="H462" s="29"/>
      <c r="I462" s="29"/>
      <c r="J462" s="29"/>
      <c r="K462" s="28" t="s">
        <v>9</v>
      </c>
      <c r="L462" s="28" t="s">
        <v>8</v>
      </c>
      <c r="M462" s="28">
        <f>SUM(G462*B462)</f>
        <v>54800</v>
      </c>
      <c r="N462" s="28"/>
      <c r="O462" s="28"/>
      <c r="P462" s="28"/>
      <c r="Q462" s="30"/>
      <c r="R462" s="28"/>
      <c r="S462" s="29"/>
      <c r="T462" s="29"/>
    </row>
    <row r="463" spans="2:20" ht="15.6" customHeight="1" x14ac:dyDescent="0.25">
      <c r="B463" s="37">
        <v>2.5000000000000001E-2</v>
      </c>
      <c r="C463" s="29" t="s">
        <v>17</v>
      </c>
      <c r="D463" s="29" t="s">
        <v>56</v>
      </c>
      <c r="E463" s="43" t="s">
        <v>15</v>
      </c>
      <c r="F463" s="35" t="s">
        <v>8</v>
      </c>
      <c r="G463" s="28">
        <f>'Unit Price '!E94</f>
        <v>14659</v>
      </c>
      <c r="H463" s="29"/>
      <c r="I463" s="29"/>
      <c r="J463" s="29"/>
      <c r="K463" s="28" t="s">
        <v>9</v>
      </c>
      <c r="L463" s="28" t="s">
        <v>8</v>
      </c>
      <c r="M463" s="28">
        <f>SUM(G463*B463)</f>
        <v>366.47500000000002</v>
      </c>
      <c r="N463" s="28"/>
      <c r="O463" s="28"/>
      <c r="P463" s="28"/>
      <c r="Q463" s="30"/>
      <c r="R463" s="28"/>
      <c r="S463" s="29"/>
      <c r="T463" s="29"/>
    </row>
    <row r="464" spans="2:20" ht="15.6" customHeight="1" x14ac:dyDescent="0.25">
      <c r="B464" s="37">
        <v>0.1</v>
      </c>
      <c r="C464" s="29" t="s">
        <v>44</v>
      </c>
      <c r="D464" s="29" t="s">
        <v>296</v>
      </c>
      <c r="E464" s="43" t="s">
        <v>15</v>
      </c>
      <c r="F464" s="35" t="s">
        <v>8</v>
      </c>
      <c r="G464" s="28">
        <f>G453</f>
        <v>164400</v>
      </c>
      <c r="H464" s="28" t="s">
        <v>13</v>
      </c>
      <c r="I464" s="28" t="s">
        <v>8</v>
      </c>
      <c r="J464" s="28">
        <f>SUM(G464*B464)</f>
        <v>16440</v>
      </c>
      <c r="K464" s="28"/>
      <c r="L464" s="28"/>
      <c r="M464" s="28"/>
      <c r="N464" s="28"/>
      <c r="O464" s="28"/>
      <c r="P464" s="28"/>
      <c r="Q464" s="30"/>
      <c r="R464" s="28"/>
      <c r="S464" s="29"/>
      <c r="T464" s="29"/>
    </row>
    <row r="465" spans="2:20" ht="15.6" customHeight="1" x14ac:dyDescent="0.25">
      <c r="B465" s="37">
        <v>0.01</v>
      </c>
      <c r="C465" s="29" t="s">
        <v>44</v>
      </c>
      <c r="D465" s="29" t="s">
        <v>301</v>
      </c>
      <c r="E465" s="43" t="s">
        <v>15</v>
      </c>
      <c r="F465" s="35" t="s">
        <v>8</v>
      </c>
      <c r="G465" s="28">
        <f>G454</f>
        <v>178100</v>
      </c>
      <c r="H465" s="28" t="s">
        <v>13</v>
      </c>
      <c r="I465" s="28" t="s">
        <v>8</v>
      </c>
      <c r="J465" s="28">
        <f>SUM(G465*B465)</f>
        <v>1781</v>
      </c>
      <c r="K465" s="28"/>
      <c r="L465" s="28"/>
      <c r="M465" s="28"/>
      <c r="N465" s="28"/>
      <c r="O465" s="28"/>
      <c r="P465" s="28"/>
      <c r="Q465" s="30"/>
      <c r="R465" s="28"/>
      <c r="S465" s="29"/>
      <c r="T465" s="29"/>
    </row>
    <row r="466" spans="2:20" ht="15.6" customHeight="1" x14ac:dyDescent="0.25">
      <c r="B466" s="37">
        <v>0.01</v>
      </c>
      <c r="C466" s="29" t="s">
        <v>44</v>
      </c>
      <c r="D466" s="10" t="s">
        <v>230</v>
      </c>
      <c r="E466" s="43" t="s">
        <v>15</v>
      </c>
      <c r="F466" s="35" t="s">
        <v>8</v>
      </c>
      <c r="G466" s="28">
        <f>G455</f>
        <v>109600</v>
      </c>
      <c r="H466" s="28" t="s">
        <v>13</v>
      </c>
      <c r="I466" s="28" t="s">
        <v>8</v>
      </c>
      <c r="J466" s="28">
        <f>SUM(G466*B466)</f>
        <v>1096</v>
      </c>
      <c r="K466" s="28"/>
      <c r="L466" s="28"/>
      <c r="M466" s="28"/>
      <c r="N466" s="28"/>
      <c r="O466" s="28"/>
      <c r="P466" s="28"/>
      <c r="Q466" s="30"/>
      <c r="R466" s="28"/>
      <c r="S466" s="29"/>
      <c r="T466" s="29"/>
    </row>
    <row r="467" spans="2:20" ht="15.6" customHeight="1" x14ac:dyDescent="0.25">
      <c r="B467" s="37">
        <v>5.0000000000000001E-3</v>
      </c>
      <c r="C467" s="29" t="s">
        <v>44</v>
      </c>
      <c r="D467" s="381" t="s">
        <v>261</v>
      </c>
      <c r="E467" s="43" t="s">
        <v>15</v>
      </c>
      <c r="F467" s="35" t="s">
        <v>8</v>
      </c>
      <c r="G467" s="28">
        <f>G456</f>
        <v>178100</v>
      </c>
      <c r="H467" s="28" t="s">
        <v>13</v>
      </c>
      <c r="I467" s="28" t="s">
        <v>8</v>
      </c>
      <c r="J467" s="28">
        <f>SUM(G467*B467)</f>
        <v>890.5</v>
      </c>
      <c r="K467" s="28"/>
      <c r="L467" s="28"/>
      <c r="M467" s="28"/>
      <c r="N467" s="28"/>
      <c r="O467" s="28"/>
      <c r="P467" s="28"/>
      <c r="Q467" s="30"/>
      <c r="R467" s="28"/>
      <c r="S467" s="29"/>
      <c r="T467" s="29"/>
    </row>
    <row r="468" spans="2:20" ht="15.6" customHeight="1" x14ac:dyDescent="0.25">
      <c r="B468" s="37"/>
      <c r="C468" s="29"/>
      <c r="D468" s="29"/>
      <c r="E468" s="43"/>
      <c r="F468" s="30"/>
      <c r="G468" s="13" t="s">
        <v>228</v>
      </c>
      <c r="H468" s="28" t="s">
        <v>13</v>
      </c>
      <c r="I468" s="28" t="s">
        <v>8</v>
      </c>
      <c r="J468" s="28">
        <f>SUM(J464:J467)</f>
        <v>20207.5</v>
      </c>
      <c r="K468" s="28" t="s">
        <v>9</v>
      </c>
      <c r="L468" s="28" t="s">
        <v>8</v>
      </c>
      <c r="M468" s="28">
        <f>SUM(M462:M467)</f>
        <v>55166.474999999999</v>
      </c>
      <c r="N468" s="28" t="s">
        <v>13</v>
      </c>
      <c r="O468" s="28" t="s">
        <v>8</v>
      </c>
      <c r="P468" s="28">
        <f>SUM(M468+J468)</f>
        <v>75373.975000000006</v>
      </c>
      <c r="Q468" s="30"/>
      <c r="R468" s="28"/>
      <c r="S468" s="29"/>
      <c r="T468" s="29"/>
    </row>
    <row r="469" spans="2:20" ht="15.6" customHeight="1" x14ac:dyDescent="0.25">
      <c r="B469" s="37"/>
      <c r="C469" s="29"/>
      <c r="D469" s="29"/>
      <c r="E469" s="43"/>
      <c r="F469" s="35"/>
      <c r="G469" s="13" t="s">
        <v>228</v>
      </c>
      <c r="H469" s="28"/>
      <c r="I469" s="28"/>
      <c r="J469" s="28"/>
      <c r="K469" s="28"/>
      <c r="L469" s="28"/>
      <c r="M469" s="28"/>
      <c r="N469" s="28" t="s">
        <v>13</v>
      </c>
      <c r="O469" s="28" t="s">
        <v>8</v>
      </c>
      <c r="P469" s="28">
        <f>SUM(P468:P468)</f>
        <v>75373.975000000006</v>
      </c>
      <c r="Q469" s="30"/>
      <c r="R469" s="28"/>
      <c r="S469" s="29"/>
      <c r="T469" s="29"/>
    </row>
    <row r="470" spans="2:20" ht="15.6" customHeight="1" x14ac:dyDescent="0.25">
      <c r="B470" s="37"/>
      <c r="C470" s="29"/>
      <c r="D470" s="29"/>
      <c r="E470" s="43"/>
      <c r="F470" s="35"/>
      <c r="G470" s="13" t="s">
        <v>205</v>
      </c>
      <c r="H470" s="28"/>
      <c r="I470" s="28"/>
      <c r="J470" s="28"/>
      <c r="K470" s="28"/>
      <c r="L470" s="28"/>
      <c r="M470" s="28"/>
      <c r="N470" s="28" t="s">
        <v>13</v>
      </c>
      <c r="O470" s="28" t="s">
        <v>8</v>
      </c>
      <c r="P470" s="38">
        <f>INT(P469/1)*1</f>
        <v>75373</v>
      </c>
      <c r="Q470" s="30"/>
      <c r="R470" s="28"/>
      <c r="S470" s="29"/>
      <c r="T470" s="29"/>
    </row>
    <row r="471" spans="2:20" ht="15.6" customHeight="1" x14ac:dyDescent="0.25">
      <c r="B471" s="37"/>
      <c r="C471" s="29"/>
      <c r="D471" s="29"/>
      <c r="E471" s="43"/>
      <c r="F471" s="35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30"/>
      <c r="R471" s="28"/>
      <c r="S471" s="29"/>
      <c r="T471" s="29"/>
    </row>
    <row r="472" spans="2:20" ht="15.6" customHeight="1" x14ac:dyDescent="0.25">
      <c r="B472" s="393" t="s">
        <v>411</v>
      </c>
      <c r="C472" s="29"/>
      <c r="D472" s="29"/>
      <c r="E472" s="43"/>
      <c r="F472" s="35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30"/>
      <c r="R472" s="28"/>
      <c r="S472" s="29"/>
      <c r="T472" s="29"/>
    </row>
    <row r="473" spans="2:20" ht="15.6" customHeight="1" x14ac:dyDescent="0.25">
      <c r="B473" s="37">
        <v>1</v>
      </c>
      <c r="C473" s="29" t="s">
        <v>22</v>
      </c>
      <c r="D473" s="385" t="s">
        <v>353</v>
      </c>
      <c r="E473" s="43" t="s">
        <v>15</v>
      </c>
      <c r="F473" s="35" t="s">
        <v>8</v>
      </c>
      <c r="G473" s="28">
        <f>'Unit Price '!E90</f>
        <v>287700</v>
      </c>
      <c r="H473" s="29"/>
      <c r="I473" s="29"/>
      <c r="J473" s="29"/>
      <c r="K473" s="28" t="s">
        <v>9</v>
      </c>
      <c r="L473" s="28" t="s">
        <v>8</v>
      </c>
      <c r="M473" s="28">
        <f>SUM(G473*B473)</f>
        <v>287700</v>
      </c>
      <c r="N473" s="28"/>
      <c r="O473" s="28"/>
      <c r="P473" s="28"/>
      <c r="Q473" s="30"/>
      <c r="R473" s="28"/>
      <c r="S473" s="29"/>
      <c r="T473" s="29"/>
    </row>
    <row r="474" spans="2:20" ht="15.6" customHeight="1" x14ac:dyDescent="0.25">
      <c r="B474" s="37">
        <v>2.5000000000000001E-2</v>
      </c>
      <c r="C474" s="29" t="s">
        <v>17</v>
      </c>
      <c r="D474" s="29" t="s">
        <v>56</v>
      </c>
      <c r="E474" s="43" t="s">
        <v>15</v>
      </c>
      <c r="F474" s="35" t="s">
        <v>8</v>
      </c>
      <c r="G474" s="28">
        <f>'Unit Price '!E111</f>
        <v>164400</v>
      </c>
      <c r="H474" s="29"/>
      <c r="I474" s="29"/>
      <c r="J474" s="29"/>
      <c r="K474" s="28" t="s">
        <v>9</v>
      </c>
      <c r="L474" s="28" t="s">
        <v>8</v>
      </c>
      <c r="M474" s="28">
        <f>SUM(G474*B474)</f>
        <v>4110</v>
      </c>
      <c r="N474" s="28"/>
      <c r="O474" s="28"/>
      <c r="P474" s="28"/>
      <c r="Q474" s="30"/>
      <c r="R474" s="28"/>
      <c r="S474" s="29"/>
      <c r="T474" s="29"/>
    </row>
    <row r="475" spans="2:20" ht="15.6" customHeight="1" x14ac:dyDescent="0.25">
      <c r="B475" s="37">
        <v>0.1</v>
      </c>
      <c r="C475" s="29" t="s">
        <v>44</v>
      </c>
      <c r="D475" s="29" t="s">
        <v>296</v>
      </c>
      <c r="E475" s="43" t="s">
        <v>15</v>
      </c>
      <c r="F475" s="35" t="s">
        <v>8</v>
      </c>
      <c r="G475" s="28">
        <f>G463</f>
        <v>14659</v>
      </c>
      <c r="H475" s="28" t="s">
        <v>13</v>
      </c>
      <c r="I475" s="28" t="s">
        <v>8</v>
      </c>
      <c r="J475" s="28">
        <f>SUM(G475*B475)</f>
        <v>1465.9</v>
      </c>
      <c r="K475" s="28"/>
      <c r="L475" s="28"/>
      <c r="M475" s="28"/>
      <c r="N475" s="28"/>
      <c r="O475" s="28"/>
      <c r="P475" s="28"/>
      <c r="Q475" s="30"/>
      <c r="R475" s="28"/>
      <c r="S475" s="29"/>
      <c r="T475" s="29"/>
    </row>
    <row r="476" spans="2:20" ht="15.6" customHeight="1" x14ac:dyDescent="0.25">
      <c r="B476" s="37">
        <v>0.01</v>
      </c>
      <c r="C476" s="29" t="s">
        <v>44</v>
      </c>
      <c r="D476" s="29" t="s">
        <v>301</v>
      </c>
      <c r="E476" s="43" t="s">
        <v>15</v>
      </c>
      <c r="F476" s="35" t="s">
        <v>8</v>
      </c>
      <c r="G476" s="28">
        <f>G464</f>
        <v>164400</v>
      </c>
      <c r="H476" s="28" t="s">
        <v>13</v>
      </c>
      <c r="I476" s="28" t="s">
        <v>8</v>
      </c>
      <c r="J476" s="28">
        <f>SUM(G476*B476)</f>
        <v>1644</v>
      </c>
      <c r="K476" s="28"/>
      <c r="L476" s="28"/>
      <c r="M476" s="28"/>
      <c r="N476" s="28"/>
      <c r="O476" s="28"/>
      <c r="P476" s="28"/>
      <c r="Q476" s="30"/>
      <c r="R476" s="28"/>
      <c r="S476" s="29"/>
      <c r="T476" s="29"/>
    </row>
    <row r="477" spans="2:20" ht="15.6" customHeight="1" x14ac:dyDescent="0.25">
      <c r="B477" s="37">
        <v>0.01</v>
      </c>
      <c r="C477" s="29" t="s">
        <v>44</v>
      </c>
      <c r="D477" s="10" t="s">
        <v>230</v>
      </c>
      <c r="E477" s="43" t="s">
        <v>15</v>
      </c>
      <c r="F477" s="35" t="s">
        <v>8</v>
      </c>
      <c r="G477" s="28">
        <f>G465</f>
        <v>178100</v>
      </c>
      <c r="H477" s="28" t="s">
        <v>13</v>
      </c>
      <c r="I477" s="28" t="s">
        <v>8</v>
      </c>
      <c r="J477" s="28">
        <f>SUM(G477*B477)</f>
        <v>1781</v>
      </c>
      <c r="K477" s="28"/>
      <c r="L477" s="28"/>
      <c r="M477" s="28"/>
      <c r="N477" s="28"/>
      <c r="O477" s="28"/>
      <c r="P477" s="28"/>
      <c r="Q477" s="30"/>
      <c r="R477" s="28"/>
      <c r="S477" s="29"/>
      <c r="T477" s="29"/>
    </row>
    <row r="478" spans="2:20" ht="15.6" customHeight="1" x14ac:dyDescent="0.25">
      <c r="B478" s="37">
        <v>5.0000000000000001E-3</v>
      </c>
      <c r="C478" s="29" t="s">
        <v>44</v>
      </c>
      <c r="D478" s="381" t="s">
        <v>261</v>
      </c>
      <c r="E478" s="43" t="s">
        <v>15</v>
      </c>
      <c r="F478" s="35" t="s">
        <v>8</v>
      </c>
      <c r="G478" s="28">
        <f>G466</f>
        <v>109600</v>
      </c>
      <c r="H478" s="28" t="s">
        <v>13</v>
      </c>
      <c r="I478" s="28" t="s">
        <v>8</v>
      </c>
      <c r="J478" s="28">
        <f>SUM(G478*B478)</f>
        <v>548</v>
      </c>
      <c r="K478" s="28"/>
      <c r="L478" s="28"/>
      <c r="M478" s="28"/>
      <c r="N478" s="28"/>
      <c r="O478" s="28"/>
      <c r="P478" s="28"/>
      <c r="Q478" s="30"/>
      <c r="R478" s="28"/>
      <c r="S478" s="29"/>
      <c r="T478" s="29"/>
    </row>
    <row r="479" spans="2:20" ht="15.6" customHeight="1" x14ac:dyDescent="0.25">
      <c r="B479" s="37"/>
      <c r="C479" s="29"/>
      <c r="D479" s="29"/>
      <c r="E479" s="43"/>
      <c r="F479" s="30"/>
      <c r="G479" s="13" t="s">
        <v>228</v>
      </c>
      <c r="H479" s="28" t="s">
        <v>13</v>
      </c>
      <c r="I479" s="28" t="s">
        <v>8</v>
      </c>
      <c r="J479" s="28">
        <f>SUM(J475:J478)</f>
        <v>5438.9</v>
      </c>
      <c r="K479" s="28" t="s">
        <v>9</v>
      </c>
      <c r="L479" s="28" t="s">
        <v>8</v>
      </c>
      <c r="M479" s="28">
        <f>SUM(M473:M478)</f>
        <v>291810</v>
      </c>
      <c r="N479" s="28" t="s">
        <v>13</v>
      </c>
      <c r="O479" s="28" t="s">
        <v>8</v>
      </c>
      <c r="P479" s="28">
        <f>SUM(M479+J479)</f>
        <v>297248.90000000002</v>
      </c>
      <c r="Q479" s="30"/>
      <c r="R479" s="28"/>
      <c r="S479" s="29"/>
      <c r="T479" s="29"/>
    </row>
    <row r="480" spans="2:20" ht="15.6" customHeight="1" x14ac:dyDescent="0.25">
      <c r="B480" s="37"/>
      <c r="C480" s="29"/>
      <c r="D480" s="29"/>
      <c r="E480" s="43"/>
      <c r="F480" s="35"/>
      <c r="G480" s="13" t="s">
        <v>228</v>
      </c>
      <c r="H480" s="28"/>
      <c r="I480" s="28"/>
      <c r="J480" s="28"/>
      <c r="K480" s="28"/>
      <c r="L480" s="28"/>
      <c r="M480" s="28"/>
      <c r="N480" s="28" t="s">
        <v>13</v>
      </c>
      <c r="O480" s="28" t="s">
        <v>8</v>
      </c>
      <c r="P480" s="28">
        <f>SUM(P479:P479)</f>
        <v>297248.90000000002</v>
      </c>
      <c r="Q480" s="30"/>
      <c r="R480" s="28"/>
      <c r="S480" s="29"/>
      <c r="T480" s="29"/>
    </row>
    <row r="481" spans="2:20" ht="15.6" customHeight="1" x14ac:dyDescent="0.25">
      <c r="B481" s="37"/>
      <c r="C481" s="29"/>
      <c r="D481" s="29"/>
      <c r="E481" s="43"/>
      <c r="F481" s="35"/>
      <c r="G481" s="13" t="s">
        <v>205</v>
      </c>
      <c r="H481" s="28"/>
      <c r="I481" s="28"/>
      <c r="J481" s="28"/>
      <c r="K481" s="28"/>
      <c r="L481" s="28"/>
      <c r="M481" s="28"/>
      <c r="N481" s="28" t="s">
        <v>13</v>
      </c>
      <c r="O481" s="28" t="s">
        <v>8</v>
      </c>
      <c r="P481" s="38">
        <f>INT(P480/1)*1</f>
        <v>297248</v>
      </c>
      <c r="Q481" s="30"/>
      <c r="R481" s="28"/>
      <c r="S481" s="29"/>
      <c r="T481" s="29"/>
    </row>
    <row r="482" spans="2:20" ht="15.6" customHeight="1" x14ac:dyDescent="0.25">
      <c r="B482" s="37"/>
      <c r="C482" s="29"/>
      <c r="D482" s="29"/>
      <c r="E482" s="43"/>
      <c r="F482" s="35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30"/>
      <c r="R482" s="28"/>
      <c r="S482" s="29"/>
      <c r="T482" s="29"/>
    </row>
    <row r="483" spans="2:20" ht="15.6" customHeight="1" x14ac:dyDescent="0.25">
      <c r="B483" s="37" t="s">
        <v>412</v>
      </c>
      <c r="C483" s="29"/>
      <c r="D483" s="29"/>
      <c r="E483" s="43"/>
      <c r="F483" s="35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30"/>
      <c r="R483" s="28"/>
      <c r="S483" s="29"/>
      <c r="T483" s="29"/>
    </row>
    <row r="484" spans="2:20" ht="15.6" customHeight="1" x14ac:dyDescent="0.25">
      <c r="B484" s="37">
        <v>1</v>
      </c>
      <c r="C484" s="29" t="s">
        <v>22</v>
      </c>
      <c r="D484" s="29" t="s">
        <v>57</v>
      </c>
      <c r="E484" s="43" t="s">
        <v>15</v>
      </c>
      <c r="F484" s="35" t="s">
        <v>8</v>
      </c>
      <c r="G484" s="28">
        <f>'Unit Price '!E88</f>
        <v>54800</v>
      </c>
      <c r="H484" s="29"/>
      <c r="I484" s="29"/>
      <c r="J484" s="29"/>
      <c r="K484" s="28" t="s">
        <v>9</v>
      </c>
      <c r="L484" s="28" t="s">
        <v>8</v>
      </c>
      <c r="M484" s="28">
        <f>SUM(G484*B484)</f>
        <v>54800</v>
      </c>
      <c r="N484" s="28"/>
      <c r="O484" s="28"/>
      <c r="P484" s="28"/>
      <c r="Q484" s="30"/>
      <c r="R484" s="28"/>
      <c r="S484" s="29"/>
      <c r="T484" s="29"/>
    </row>
    <row r="485" spans="2:20" ht="15.6" customHeight="1" x14ac:dyDescent="0.25">
      <c r="B485" s="37">
        <v>0.1</v>
      </c>
      <c r="C485" s="29" t="s">
        <v>44</v>
      </c>
      <c r="D485" s="29" t="s">
        <v>296</v>
      </c>
      <c r="E485" s="43" t="s">
        <v>15</v>
      </c>
      <c r="F485" s="35" t="s">
        <v>8</v>
      </c>
      <c r="G485" s="28">
        <f>G464</f>
        <v>164400</v>
      </c>
      <c r="H485" s="28" t="s">
        <v>13</v>
      </c>
      <c r="I485" s="28" t="s">
        <v>8</v>
      </c>
      <c r="J485" s="28">
        <f>SUM(G485*B485)</f>
        <v>16440</v>
      </c>
      <c r="K485" s="28"/>
      <c r="L485" s="28"/>
      <c r="M485" s="28"/>
      <c r="N485" s="28"/>
      <c r="O485" s="28"/>
      <c r="P485" s="28"/>
      <c r="Q485" s="30"/>
      <c r="R485" s="28"/>
      <c r="S485" s="29"/>
      <c r="T485" s="29"/>
    </row>
    <row r="486" spans="2:20" ht="15.6" customHeight="1" x14ac:dyDescent="0.25">
      <c r="B486" s="37">
        <v>0.01</v>
      </c>
      <c r="C486" s="29" t="s">
        <v>44</v>
      </c>
      <c r="D486" s="29" t="s">
        <v>301</v>
      </c>
      <c r="E486" s="43" t="s">
        <v>15</v>
      </c>
      <c r="F486" s="35" t="s">
        <v>8</v>
      </c>
      <c r="G486" s="28">
        <f>G465</f>
        <v>178100</v>
      </c>
      <c r="H486" s="28" t="s">
        <v>13</v>
      </c>
      <c r="I486" s="28" t="s">
        <v>8</v>
      </c>
      <c r="J486" s="28">
        <f>SUM(G486*B486)</f>
        <v>1781</v>
      </c>
      <c r="K486" s="28"/>
      <c r="L486" s="28"/>
      <c r="M486" s="28"/>
      <c r="N486" s="28"/>
      <c r="O486" s="28"/>
      <c r="P486" s="28"/>
      <c r="Q486" s="30"/>
      <c r="R486" s="28"/>
      <c r="S486" s="29"/>
      <c r="T486" s="29"/>
    </row>
    <row r="487" spans="2:20" ht="15.6" customHeight="1" x14ac:dyDescent="0.25">
      <c r="B487" s="37">
        <v>0.01</v>
      </c>
      <c r="C487" s="29" t="s">
        <v>44</v>
      </c>
      <c r="D487" s="10" t="s">
        <v>230</v>
      </c>
      <c r="E487" s="43" t="s">
        <v>15</v>
      </c>
      <c r="F487" s="35" t="s">
        <v>8</v>
      </c>
      <c r="G487" s="28">
        <f>G466</f>
        <v>109600</v>
      </c>
      <c r="H487" s="28" t="s">
        <v>13</v>
      </c>
      <c r="I487" s="28" t="s">
        <v>8</v>
      </c>
      <c r="J487" s="28">
        <f>SUM(G487*B487)</f>
        <v>1096</v>
      </c>
      <c r="K487" s="28"/>
      <c r="L487" s="28"/>
      <c r="M487" s="28"/>
      <c r="N487" s="28"/>
      <c r="O487" s="28"/>
      <c r="P487" s="28"/>
      <c r="Q487" s="30"/>
      <c r="R487" s="28"/>
      <c r="S487" s="29"/>
      <c r="T487" s="29"/>
    </row>
    <row r="488" spans="2:20" ht="15.6" customHeight="1" x14ac:dyDescent="0.25">
      <c r="B488" s="37">
        <v>5.0000000000000001E-3</v>
      </c>
      <c r="C488" s="29" t="s">
        <v>44</v>
      </c>
      <c r="D488" s="381" t="s">
        <v>261</v>
      </c>
      <c r="E488" s="43" t="s">
        <v>15</v>
      </c>
      <c r="F488" s="35" t="s">
        <v>8</v>
      </c>
      <c r="G488" s="28">
        <f>G467</f>
        <v>178100</v>
      </c>
      <c r="H488" s="28" t="s">
        <v>13</v>
      </c>
      <c r="I488" s="28" t="s">
        <v>8</v>
      </c>
      <c r="J488" s="28">
        <f>SUM(G488*B488)</f>
        <v>890.5</v>
      </c>
      <c r="K488" s="28"/>
      <c r="L488" s="28"/>
      <c r="M488" s="28"/>
      <c r="N488" s="28"/>
      <c r="O488" s="28"/>
      <c r="P488" s="28"/>
      <c r="Q488" s="30"/>
      <c r="R488" s="28"/>
      <c r="S488" s="29"/>
      <c r="T488" s="29"/>
    </row>
    <row r="489" spans="2:20" ht="15.6" customHeight="1" x14ac:dyDescent="0.25">
      <c r="B489" s="37"/>
      <c r="C489" s="29"/>
      <c r="D489" s="29"/>
      <c r="E489" s="43"/>
      <c r="F489" s="30"/>
      <c r="G489" s="13" t="s">
        <v>228</v>
      </c>
      <c r="H489" s="28" t="s">
        <v>13</v>
      </c>
      <c r="I489" s="28" t="s">
        <v>8</v>
      </c>
      <c r="J489" s="28">
        <f>SUM(J485:J488)</f>
        <v>20207.5</v>
      </c>
      <c r="K489" s="28" t="s">
        <v>9</v>
      </c>
      <c r="L489" s="28" t="s">
        <v>8</v>
      </c>
      <c r="M489" s="28">
        <f>SUM(M484:M488)</f>
        <v>54800</v>
      </c>
      <c r="N489" s="28" t="s">
        <v>13</v>
      </c>
      <c r="O489" s="28" t="s">
        <v>8</v>
      </c>
      <c r="P489" s="28">
        <f>SUM(M489+J489)</f>
        <v>75007.5</v>
      </c>
      <c r="Q489" s="30"/>
      <c r="R489" s="28"/>
      <c r="S489" s="29"/>
      <c r="T489" s="29"/>
    </row>
    <row r="490" spans="2:20" ht="15.6" customHeight="1" x14ac:dyDescent="0.25">
      <c r="B490" s="37"/>
      <c r="C490" s="29"/>
      <c r="D490" s="29"/>
      <c r="E490" s="43"/>
      <c r="F490" s="35"/>
      <c r="G490" s="13" t="s">
        <v>228</v>
      </c>
      <c r="H490" s="28"/>
      <c r="I490" s="28"/>
      <c r="J490" s="28"/>
      <c r="K490" s="28"/>
      <c r="L490" s="28"/>
      <c r="M490" s="28"/>
      <c r="N490" s="28" t="s">
        <v>13</v>
      </c>
      <c r="O490" s="28" t="s">
        <v>8</v>
      </c>
      <c r="P490" s="28">
        <f>SUM(P489:P489)</f>
        <v>75007.5</v>
      </c>
      <c r="Q490" s="30"/>
      <c r="R490" s="28"/>
      <c r="S490" s="29"/>
      <c r="T490" s="29"/>
    </row>
    <row r="491" spans="2:20" ht="15.6" customHeight="1" x14ac:dyDescent="0.25">
      <c r="B491" s="37"/>
      <c r="C491" s="29"/>
      <c r="D491" s="29"/>
      <c r="E491" s="43"/>
      <c r="F491" s="35"/>
      <c r="G491" s="13" t="s">
        <v>205</v>
      </c>
      <c r="H491" s="28"/>
      <c r="I491" s="28"/>
      <c r="J491" s="28"/>
      <c r="K491" s="28"/>
      <c r="L491" s="28"/>
      <c r="M491" s="28"/>
      <c r="N491" s="28" t="s">
        <v>13</v>
      </c>
      <c r="O491" s="28" t="s">
        <v>8</v>
      </c>
      <c r="P491" s="38">
        <f>INT(P490/1)*1</f>
        <v>75007</v>
      </c>
      <c r="Q491" s="30"/>
      <c r="R491" s="28"/>
      <c r="S491" s="29"/>
      <c r="T491" s="29"/>
    </row>
    <row r="492" spans="2:20" ht="15.6" customHeight="1" x14ac:dyDescent="0.25">
      <c r="B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4"/>
      <c r="R492" s="13"/>
    </row>
    <row r="493" spans="2:20" ht="15.6" customHeight="1" x14ac:dyDescent="0.25">
      <c r="B493" s="394" t="s">
        <v>413</v>
      </c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4"/>
      <c r="R493" s="13"/>
    </row>
    <row r="494" spans="2:20" ht="15.6" customHeight="1" x14ac:dyDescent="0.25">
      <c r="B494" s="13" t="s">
        <v>414</v>
      </c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4"/>
      <c r="R494" s="13"/>
    </row>
    <row r="495" spans="2:20" ht="15.6" customHeight="1" x14ac:dyDescent="0.25">
      <c r="B495" s="89">
        <v>326</v>
      </c>
      <c r="C495" s="90" t="s">
        <v>58</v>
      </c>
      <c r="D495" s="91" t="s">
        <v>75</v>
      </c>
      <c r="E495" s="10" t="s">
        <v>15</v>
      </c>
      <c r="F495" s="10" t="s">
        <v>8</v>
      </c>
      <c r="G495" s="13">
        <f>'Unit Price '!E9</f>
        <v>1918</v>
      </c>
      <c r="K495" s="13" t="s">
        <v>9</v>
      </c>
      <c r="L495" s="13" t="s">
        <v>8</v>
      </c>
      <c r="M495" s="13">
        <f>SUM(G495*B495)</f>
        <v>625268</v>
      </c>
      <c r="N495" s="13"/>
      <c r="O495" s="13"/>
      <c r="P495" s="13"/>
      <c r="Q495" s="14"/>
      <c r="R495" s="13"/>
    </row>
    <row r="496" spans="2:20" ht="15.6" customHeight="1" x14ac:dyDescent="0.25">
      <c r="B496" s="89">
        <f>760/1400</f>
        <v>0.54285714285714282</v>
      </c>
      <c r="C496" s="90" t="s">
        <v>62</v>
      </c>
      <c r="D496" s="396" t="s">
        <v>354</v>
      </c>
      <c r="E496" s="10" t="s">
        <v>15</v>
      </c>
      <c r="F496" s="10" t="s">
        <v>8</v>
      </c>
      <c r="G496" s="13">
        <f>'Unit Price '!E12</f>
        <v>119875</v>
      </c>
      <c r="K496" s="13" t="s">
        <v>9</v>
      </c>
      <c r="L496" s="13" t="s">
        <v>8</v>
      </c>
      <c r="M496" s="13">
        <f>SUM(G496*B496)</f>
        <v>65074.999999999993</v>
      </c>
      <c r="N496" s="13"/>
      <c r="O496" s="13"/>
      <c r="P496" s="13"/>
      <c r="Q496" s="14"/>
      <c r="R496" s="13"/>
    </row>
    <row r="497" spans="2:18" ht="15.6" customHeight="1" x14ac:dyDescent="0.25">
      <c r="B497" s="89">
        <f>1029/1350</f>
        <v>0.76222222222222225</v>
      </c>
      <c r="C497" s="90" t="s">
        <v>62</v>
      </c>
      <c r="D497" s="92" t="s">
        <v>99</v>
      </c>
      <c r="E497" s="10" t="s">
        <v>15</v>
      </c>
      <c r="F497" s="10" t="s">
        <v>8</v>
      </c>
      <c r="G497" s="13">
        <f>'Unit Price '!E14</f>
        <v>411000</v>
      </c>
      <c r="K497" s="13" t="s">
        <v>9</v>
      </c>
      <c r="L497" s="13" t="s">
        <v>8</v>
      </c>
      <c r="M497" s="13">
        <f>SUM(G497*B497)</f>
        <v>313273.33333333331</v>
      </c>
      <c r="N497" s="13"/>
      <c r="O497" s="13"/>
      <c r="P497" s="13"/>
      <c r="Q497" s="14"/>
      <c r="R497" s="13"/>
    </row>
    <row r="498" spans="2:18" ht="15.6" customHeight="1" x14ac:dyDescent="0.25">
      <c r="B498" s="89">
        <v>1.65</v>
      </c>
      <c r="C498" s="90" t="s">
        <v>93</v>
      </c>
      <c r="D498" s="10" t="s">
        <v>230</v>
      </c>
      <c r="E498" s="10" t="s">
        <v>15</v>
      </c>
      <c r="F498" s="10" t="s">
        <v>8</v>
      </c>
      <c r="G498" s="13">
        <f>'Unit Price '!E120</f>
        <v>109600</v>
      </c>
      <c r="H498" s="13" t="s">
        <v>13</v>
      </c>
      <c r="I498" s="13" t="s">
        <v>8</v>
      </c>
      <c r="J498" s="13">
        <f>SUM(G498*B498)</f>
        <v>180840</v>
      </c>
      <c r="K498" s="13"/>
      <c r="L498" s="13"/>
      <c r="M498" s="13"/>
      <c r="N498" s="13"/>
      <c r="O498" s="13"/>
      <c r="P498" s="13"/>
      <c r="Q498" s="14"/>
      <c r="R498" s="13"/>
    </row>
    <row r="499" spans="2:18" ht="15.6" customHeight="1" x14ac:dyDescent="0.25">
      <c r="B499" s="89">
        <v>0.27500000000000002</v>
      </c>
      <c r="C499" s="90" t="s">
        <v>93</v>
      </c>
      <c r="D499" s="29" t="s">
        <v>296</v>
      </c>
      <c r="E499" s="10" t="s">
        <v>15</v>
      </c>
      <c r="F499" s="10" t="s">
        <v>8</v>
      </c>
      <c r="G499" s="13">
        <f>'Unit Price '!E113</f>
        <v>164400</v>
      </c>
      <c r="H499" s="13" t="s">
        <v>13</v>
      </c>
      <c r="I499" s="13" t="s">
        <v>8</v>
      </c>
      <c r="J499" s="13">
        <f>SUM(G499*B499)</f>
        <v>45210.000000000007</v>
      </c>
      <c r="K499" s="13"/>
      <c r="L499" s="13"/>
      <c r="M499" s="13"/>
      <c r="N499" s="13"/>
      <c r="O499" s="13"/>
      <c r="P499" s="13"/>
      <c r="Q499" s="14"/>
      <c r="R499" s="13"/>
    </row>
    <row r="500" spans="2:18" ht="15.6" customHeight="1" x14ac:dyDescent="0.25">
      <c r="B500" s="89">
        <v>2.75E-2</v>
      </c>
      <c r="C500" s="90" t="s">
        <v>93</v>
      </c>
      <c r="D500" s="29" t="s">
        <v>301</v>
      </c>
      <c r="E500" s="10" t="s">
        <v>15</v>
      </c>
      <c r="F500" s="10" t="s">
        <v>8</v>
      </c>
      <c r="G500" s="13">
        <f>'Unit Price '!E112</f>
        <v>178100</v>
      </c>
      <c r="H500" s="13" t="s">
        <v>13</v>
      </c>
      <c r="I500" s="13" t="s">
        <v>8</v>
      </c>
      <c r="J500" s="13">
        <f>SUM(G500*B500)</f>
        <v>4897.75</v>
      </c>
      <c r="K500" s="13"/>
      <c r="L500" s="13"/>
      <c r="M500" s="13"/>
      <c r="N500" s="13"/>
      <c r="O500" s="13"/>
      <c r="P500" s="13" t="s">
        <v>11</v>
      </c>
      <c r="Q500" s="14"/>
      <c r="R500" s="13"/>
    </row>
    <row r="501" spans="2:18" ht="15.6" customHeight="1" x14ac:dyDescent="0.25">
      <c r="B501" s="89">
        <v>8.2500000000000004E-2</v>
      </c>
      <c r="C501" s="90" t="s">
        <v>93</v>
      </c>
      <c r="D501" s="381" t="s">
        <v>261</v>
      </c>
      <c r="E501" s="10" t="s">
        <v>15</v>
      </c>
      <c r="F501" s="10" t="s">
        <v>8</v>
      </c>
      <c r="G501" s="13">
        <f>'Unit Price '!E109</f>
        <v>178100</v>
      </c>
      <c r="H501" s="13" t="s">
        <v>13</v>
      </c>
      <c r="I501" s="13" t="s">
        <v>8</v>
      </c>
      <c r="J501" s="13">
        <f>SUM(G501*B501)</f>
        <v>14693.25</v>
      </c>
      <c r="K501" s="13"/>
      <c r="L501" s="13"/>
      <c r="M501" s="13"/>
      <c r="N501" s="13"/>
      <c r="O501" s="13"/>
      <c r="P501" s="13"/>
      <c r="Q501" s="14" t="s">
        <v>9</v>
      </c>
      <c r="R501" s="13"/>
    </row>
    <row r="502" spans="2:18" ht="15.6" customHeight="1" x14ac:dyDescent="0.25">
      <c r="B502" s="13"/>
      <c r="G502" s="13" t="s">
        <v>228</v>
      </c>
      <c r="H502" s="13" t="s">
        <v>13</v>
      </c>
      <c r="I502" s="13" t="s">
        <v>8</v>
      </c>
      <c r="J502" s="13">
        <f>SUM(J495:J501)</f>
        <v>245641</v>
      </c>
      <c r="K502" s="13" t="s">
        <v>9</v>
      </c>
      <c r="L502" s="13" t="s">
        <v>8</v>
      </c>
      <c r="M502" s="13">
        <f>SUM(M495:M501)</f>
        <v>1003616.3333333333</v>
      </c>
      <c r="N502" s="13" t="s">
        <v>13</v>
      </c>
      <c r="O502" s="13" t="s">
        <v>8</v>
      </c>
      <c r="P502" s="13">
        <f>SUM(M502+J502)</f>
        <v>1249257.3333333333</v>
      </c>
      <c r="Q502" s="14" t="s">
        <v>26</v>
      </c>
      <c r="R502" s="13"/>
    </row>
    <row r="503" spans="2:18" ht="15.6" customHeight="1" x14ac:dyDescent="0.25">
      <c r="B503" s="13"/>
      <c r="G503" s="13" t="s">
        <v>228</v>
      </c>
      <c r="H503" s="13"/>
      <c r="I503" s="13"/>
      <c r="J503" s="13"/>
      <c r="K503" s="13"/>
      <c r="L503" s="13"/>
      <c r="M503" s="13"/>
      <c r="N503" s="13" t="s">
        <v>13</v>
      </c>
      <c r="O503" s="13" t="s">
        <v>8</v>
      </c>
      <c r="P503" s="13">
        <f>SUM(P502:P502)</f>
        <v>1249257.3333333333</v>
      </c>
      <c r="Q503" s="14"/>
      <c r="R503" s="13"/>
    </row>
    <row r="504" spans="2:18" ht="15.6" customHeight="1" x14ac:dyDescent="0.25">
      <c r="B504" s="13"/>
      <c r="G504" s="13" t="s">
        <v>205</v>
      </c>
      <c r="H504" s="13"/>
      <c r="I504" s="13"/>
      <c r="J504" s="13"/>
      <c r="K504" s="13"/>
      <c r="L504" s="13"/>
      <c r="M504" s="13"/>
      <c r="N504" s="13" t="s">
        <v>13</v>
      </c>
      <c r="O504" s="13" t="s">
        <v>8</v>
      </c>
      <c r="P504" s="16">
        <f>INT(P503/1)*1</f>
        <v>1249257</v>
      </c>
      <c r="Q504" s="14"/>
      <c r="R504" s="13"/>
    </row>
    <row r="505" spans="2:18" ht="15.6" customHeight="1" x14ac:dyDescent="0.25">
      <c r="B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4"/>
      <c r="R505" s="13"/>
    </row>
    <row r="506" spans="2:18" ht="15.6" customHeight="1" x14ac:dyDescent="0.25">
      <c r="B506" s="13" t="s">
        <v>35</v>
      </c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4"/>
      <c r="R506" s="13"/>
    </row>
    <row r="507" spans="2:18" ht="15.6" customHeight="1" x14ac:dyDescent="0.25">
      <c r="B507" s="13">
        <v>1.05</v>
      </c>
      <c r="C507" s="10" t="s">
        <v>17</v>
      </c>
      <c r="D507" s="10" t="s">
        <v>357</v>
      </c>
      <c r="E507" s="10" t="s">
        <v>15</v>
      </c>
      <c r="F507" s="10" t="s">
        <v>8</v>
      </c>
      <c r="G507" s="13">
        <f>+'Unit Price '!E25</f>
        <v>19180</v>
      </c>
      <c r="K507" s="13" t="s">
        <v>9</v>
      </c>
      <c r="L507" s="13" t="s">
        <v>8</v>
      </c>
      <c r="M507" s="13">
        <f>SUM(G507*B507)</f>
        <v>20139</v>
      </c>
      <c r="N507" s="13"/>
      <c r="O507" s="13"/>
      <c r="P507" s="13"/>
      <c r="Q507" s="14"/>
      <c r="R507" s="13"/>
    </row>
    <row r="508" spans="2:18" ht="15.6" customHeight="1" x14ac:dyDescent="0.25">
      <c r="B508" s="13">
        <v>1.4999999999999999E-2</v>
      </c>
      <c r="C508" s="10" t="s">
        <v>17</v>
      </c>
      <c r="D508" s="10" t="s">
        <v>27</v>
      </c>
      <c r="E508" s="10" t="s">
        <v>15</v>
      </c>
      <c r="F508" s="10" t="s">
        <v>8</v>
      </c>
      <c r="G508" s="13">
        <f>+'Unit Price '!E26</f>
        <v>34250</v>
      </c>
      <c r="K508" s="13" t="s">
        <v>9</v>
      </c>
      <c r="L508" s="13" t="s">
        <v>8</v>
      </c>
      <c r="M508" s="13">
        <f>SUM(G508*B508)</f>
        <v>513.75</v>
      </c>
      <c r="N508" s="13"/>
      <c r="O508" s="13"/>
      <c r="P508" s="13"/>
      <c r="Q508" s="14"/>
      <c r="R508" s="13"/>
    </row>
    <row r="509" spans="2:18" ht="15.6" customHeight="1" x14ac:dyDescent="0.25">
      <c r="B509" s="15">
        <v>7.0000000000000001E-3</v>
      </c>
      <c r="C509" s="10" t="s">
        <v>44</v>
      </c>
      <c r="D509" s="381" t="s">
        <v>355</v>
      </c>
      <c r="E509" s="10" t="s">
        <v>15</v>
      </c>
      <c r="F509" s="10" t="s">
        <v>8</v>
      </c>
      <c r="G509" s="13">
        <f>'Unit Price '!E115</f>
        <v>164400</v>
      </c>
      <c r="H509" s="13" t="s">
        <v>13</v>
      </c>
      <c r="I509" s="13" t="s">
        <v>8</v>
      </c>
      <c r="J509" s="13">
        <f>SUM(G509*B509)</f>
        <v>1150.8</v>
      </c>
      <c r="K509" s="13"/>
      <c r="L509" s="13"/>
      <c r="M509" s="13"/>
      <c r="N509" s="13"/>
      <c r="O509" s="13"/>
      <c r="P509" s="13"/>
      <c r="Q509" s="14"/>
      <c r="R509" s="13"/>
    </row>
    <row r="510" spans="2:18" ht="15.6" customHeight="1" x14ac:dyDescent="0.25">
      <c r="B510" s="42">
        <v>6.9999999999999999E-4</v>
      </c>
      <c r="C510" s="10" t="s">
        <v>44</v>
      </c>
      <c r="D510" s="381" t="s">
        <v>356</v>
      </c>
      <c r="E510" s="10" t="s">
        <v>15</v>
      </c>
      <c r="F510" s="10" t="s">
        <v>8</v>
      </c>
      <c r="G510" s="13">
        <f>'Unit Price '!E114</f>
        <v>164400</v>
      </c>
      <c r="H510" s="13" t="s">
        <v>13</v>
      </c>
      <c r="I510" s="13" t="s">
        <v>8</v>
      </c>
      <c r="J510" s="13">
        <f>SUM(G510*B510)</f>
        <v>115.08</v>
      </c>
      <c r="K510" s="13"/>
      <c r="L510" s="13"/>
      <c r="M510" s="13"/>
      <c r="N510" s="13"/>
      <c r="O510" s="13"/>
      <c r="P510" s="13" t="s">
        <v>11</v>
      </c>
      <c r="Q510" s="14"/>
      <c r="R510" s="13"/>
    </row>
    <row r="511" spans="2:18" ht="15.6" customHeight="1" x14ac:dyDescent="0.25">
      <c r="B511" s="15">
        <v>7.0000000000000001E-3</v>
      </c>
      <c r="C511" s="10" t="s">
        <v>44</v>
      </c>
      <c r="D511" s="10" t="s">
        <v>230</v>
      </c>
      <c r="E511" s="10" t="s">
        <v>15</v>
      </c>
      <c r="F511" s="10" t="s">
        <v>8</v>
      </c>
      <c r="G511" s="13">
        <f>'Unit Price '!E120</f>
        <v>109600</v>
      </c>
      <c r="H511" s="13" t="s">
        <v>13</v>
      </c>
      <c r="I511" s="13" t="s">
        <v>8</v>
      </c>
      <c r="J511" s="13">
        <f>SUM(G511*B511)</f>
        <v>767.2</v>
      </c>
      <c r="K511" s="13"/>
      <c r="L511" s="13"/>
      <c r="M511" s="13"/>
      <c r="N511" s="13"/>
      <c r="O511" s="13"/>
      <c r="P511" s="13"/>
      <c r="Q511" s="14" t="s">
        <v>9</v>
      </c>
      <c r="R511" s="13"/>
    </row>
    <row r="512" spans="2:18" ht="15.6" customHeight="1" x14ac:dyDescent="0.25">
      <c r="B512" s="15">
        <v>2.9999999999999997E-4</v>
      </c>
      <c r="C512" s="10" t="s">
        <v>44</v>
      </c>
      <c r="D512" s="381" t="s">
        <v>261</v>
      </c>
      <c r="E512" s="10" t="s">
        <v>15</v>
      </c>
      <c r="F512" s="10" t="s">
        <v>8</v>
      </c>
      <c r="G512" s="13">
        <f>'Unit Price '!E109</f>
        <v>178100</v>
      </c>
      <c r="H512" s="13" t="s">
        <v>13</v>
      </c>
      <c r="I512" s="13" t="s">
        <v>8</v>
      </c>
      <c r="J512" s="13">
        <f>SUM(G512*B512)</f>
        <v>53.429999999999993</v>
      </c>
      <c r="K512" s="13"/>
      <c r="L512" s="13"/>
      <c r="M512" s="13"/>
      <c r="N512" s="13"/>
      <c r="O512" s="13"/>
      <c r="P512" s="13"/>
      <c r="Q512" s="14"/>
      <c r="R512" s="13"/>
    </row>
    <row r="513" spans="2:18" ht="15.6" customHeight="1" x14ac:dyDescent="0.25">
      <c r="B513" s="13"/>
      <c r="G513" s="13" t="s">
        <v>228</v>
      </c>
      <c r="H513" s="13" t="s">
        <v>13</v>
      </c>
      <c r="I513" s="13" t="s">
        <v>8</v>
      </c>
      <c r="J513" s="13">
        <f>SUM(J509:J512)</f>
        <v>2086.5099999999998</v>
      </c>
      <c r="K513" s="13" t="s">
        <v>9</v>
      </c>
      <c r="L513" s="13" t="s">
        <v>8</v>
      </c>
      <c r="M513" s="13">
        <f>SUM(M507:M512)</f>
        <v>20652.75</v>
      </c>
      <c r="N513" s="13" t="s">
        <v>13</v>
      </c>
      <c r="O513" s="13" t="s">
        <v>8</v>
      </c>
      <c r="P513" s="13">
        <f>SUM(M513+J513)</f>
        <v>22739.26</v>
      </c>
      <c r="Q513" s="14" t="s">
        <v>26</v>
      </c>
      <c r="R513" s="13"/>
    </row>
    <row r="514" spans="2:18" ht="15.6" customHeight="1" x14ac:dyDescent="0.25">
      <c r="B514" s="13"/>
      <c r="G514" s="13" t="s">
        <v>228</v>
      </c>
      <c r="H514" s="13"/>
      <c r="I514" s="13"/>
      <c r="J514" s="13"/>
      <c r="K514" s="13"/>
      <c r="L514" s="13"/>
      <c r="M514" s="13"/>
      <c r="N514" s="13" t="s">
        <v>13</v>
      </c>
      <c r="O514" s="13" t="s">
        <v>8</v>
      </c>
      <c r="P514" s="13">
        <f>SUM(P513:P513)</f>
        <v>22739.26</v>
      </c>
      <c r="Q514" s="14"/>
      <c r="R514" s="13"/>
    </row>
    <row r="515" spans="2:18" ht="15.6" customHeight="1" x14ac:dyDescent="0.25">
      <c r="B515" s="13"/>
      <c r="G515" s="13" t="s">
        <v>205</v>
      </c>
      <c r="H515" s="13"/>
      <c r="I515" s="13"/>
      <c r="J515" s="13"/>
      <c r="K515" s="13"/>
      <c r="L515" s="13"/>
      <c r="M515" s="13"/>
      <c r="N515" s="13" t="s">
        <v>13</v>
      </c>
      <c r="O515" s="13" t="s">
        <v>8</v>
      </c>
      <c r="P515" s="16">
        <f>INT(P514/1)*1</f>
        <v>22739</v>
      </c>
      <c r="Q515" s="14"/>
      <c r="R515" s="13"/>
    </row>
    <row r="516" spans="2:18" ht="15.6" customHeight="1" x14ac:dyDescent="0.25">
      <c r="B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4"/>
      <c r="R516" s="13"/>
    </row>
    <row r="517" spans="2:18" ht="15.6" customHeight="1" x14ac:dyDescent="0.25">
      <c r="B517" s="395" t="s">
        <v>415</v>
      </c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4"/>
      <c r="R517" s="13"/>
    </row>
    <row r="518" spans="2:18" ht="15.6" customHeight="1" x14ac:dyDescent="0.25">
      <c r="B518" s="15">
        <v>32</v>
      </c>
      <c r="C518" s="10" t="s">
        <v>82</v>
      </c>
      <c r="D518" s="10" t="s">
        <v>48</v>
      </c>
      <c r="E518" s="10" t="s">
        <v>15</v>
      </c>
      <c r="F518" s="10" t="s">
        <v>8</v>
      </c>
      <c r="G518" s="13">
        <f>'Unit Price '!E59</f>
        <v>34250</v>
      </c>
      <c r="K518" s="13" t="s">
        <v>9</v>
      </c>
      <c r="L518" s="13" t="s">
        <v>8</v>
      </c>
      <c r="M518" s="13">
        <f>SUM(G518*B518)</f>
        <v>1096000</v>
      </c>
      <c r="N518" s="13"/>
      <c r="O518" s="13"/>
      <c r="P518" s="13"/>
      <c r="Q518" s="14"/>
      <c r="R518" s="13"/>
    </row>
    <row r="519" spans="2:18" ht="15.6" customHeight="1" x14ac:dyDescent="0.25">
      <c r="B519" s="44">
        <v>3.5</v>
      </c>
      <c r="C519" s="10" t="s">
        <v>44</v>
      </c>
      <c r="D519" s="382" t="s">
        <v>286</v>
      </c>
      <c r="E519" s="10" t="s">
        <v>15</v>
      </c>
      <c r="F519" s="10" t="s">
        <v>8</v>
      </c>
      <c r="G519" s="13">
        <f>'Unit Price '!E111</f>
        <v>164400</v>
      </c>
      <c r="H519" s="13" t="s">
        <v>13</v>
      </c>
      <c r="I519" s="13" t="s">
        <v>8</v>
      </c>
      <c r="J519" s="13">
        <f>SUM(G519*B519)</f>
        <v>575400</v>
      </c>
      <c r="K519" s="13"/>
      <c r="L519" s="13"/>
      <c r="M519" s="13"/>
      <c r="N519" s="13"/>
      <c r="O519" s="13"/>
      <c r="P519" s="13"/>
      <c r="Q519" s="14"/>
      <c r="R519" s="13"/>
    </row>
    <row r="520" spans="2:18" ht="15.6" customHeight="1" x14ac:dyDescent="0.25">
      <c r="B520" s="44">
        <v>2.2000000000000002</v>
      </c>
      <c r="C520" s="10" t="s">
        <v>44</v>
      </c>
      <c r="D520" s="10" t="s">
        <v>230</v>
      </c>
      <c r="E520" s="10" t="s">
        <v>15</v>
      </c>
      <c r="F520" s="10" t="s">
        <v>8</v>
      </c>
      <c r="G520" s="13">
        <f>G511</f>
        <v>109600</v>
      </c>
      <c r="H520" s="13" t="s">
        <v>13</v>
      </c>
      <c r="I520" s="13" t="s">
        <v>8</v>
      </c>
      <c r="J520" s="13">
        <f>SUM(G520*B520)</f>
        <v>241120.00000000003</v>
      </c>
      <c r="K520" s="13"/>
      <c r="L520" s="13"/>
      <c r="M520" s="13"/>
      <c r="N520" s="13"/>
      <c r="O520" s="13"/>
      <c r="P520" s="13"/>
      <c r="Q520" s="14"/>
      <c r="R520" s="13"/>
    </row>
    <row r="521" spans="2:18" ht="15.6" customHeight="1" x14ac:dyDescent="0.25">
      <c r="B521" s="10">
        <v>0.35</v>
      </c>
      <c r="C521" s="10" t="s">
        <v>44</v>
      </c>
      <c r="D521" s="18" t="s">
        <v>287</v>
      </c>
      <c r="E521" s="10" t="s">
        <v>15</v>
      </c>
      <c r="F521" s="10" t="s">
        <v>8</v>
      </c>
      <c r="G521" s="13">
        <f>'Unit Price '!E110</f>
        <v>178100</v>
      </c>
      <c r="H521" s="13" t="s">
        <v>13</v>
      </c>
      <c r="I521" s="13" t="s">
        <v>8</v>
      </c>
      <c r="J521" s="13">
        <f>SUM(G521*B521)</f>
        <v>62334.999999999993</v>
      </c>
      <c r="K521" s="13"/>
      <c r="L521" s="13"/>
      <c r="M521" s="13"/>
      <c r="N521" s="13"/>
      <c r="O521" s="13"/>
      <c r="P521" s="13" t="s">
        <v>11</v>
      </c>
      <c r="Q521" s="14"/>
      <c r="R521" s="13"/>
    </row>
    <row r="522" spans="2:18" ht="15.6" customHeight="1" x14ac:dyDescent="0.25">
      <c r="B522" s="10">
        <v>0.12</v>
      </c>
      <c r="C522" s="10" t="s">
        <v>44</v>
      </c>
      <c r="D522" s="381" t="s">
        <v>261</v>
      </c>
      <c r="E522" s="10" t="s">
        <v>15</v>
      </c>
      <c r="F522" s="10" t="s">
        <v>8</v>
      </c>
      <c r="G522" s="13">
        <f>G512</f>
        <v>178100</v>
      </c>
      <c r="H522" s="13" t="s">
        <v>13</v>
      </c>
      <c r="I522" s="13" t="s">
        <v>8</v>
      </c>
      <c r="J522" s="13">
        <f>SUM(G522*B522)</f>
        <v>21372</v>
      </c>
      <c r="K522" s="13"/>
      <c r="L522" s="13"/>
      <c r="M522" s="13"/>
      <c r="N522" s="13"/>
      <c r="O522" s="13"/>
      <c r="P522" s="13"/>
      <c r="Q522" s="14"/>
      <c r="R522" s="13"/>
    </row>
    <row r="523" spans="2:18" ht="15.6" customHeight="1" x14ac:dyDescent="0.25">
      <c r="G523" s="13" t="s">
        <v>228</v>
      </c>
      <c r="H523" s="13" t="s">
        <v>13</v>
      </c>
      <c r="I523" s="13" t="s">
        <v>8</v>
      </c>
      <c r="J523" s="13">
        <f>SUM(J518:J522)</f>
        <v>900227</v>
      </c>
      <c r="K523" s="13" t="s">
        <v>9</v>
      </c>
      <c r="L523" s="13" t="s">
        <v>8</v>
      </c>
      <c r="M523" s="13">
        <f>SUM(M518:M522)</f>
        <v>1096000</v>
      </c>
      <c r="N523" s="13" t="s">
        <v>13</v>
      </c>
      <c r="O523" s="13" t="s">
        <v>8</v>
      </c>
      <c r="P523" s="13">
        <f>SUM(M523+J523)</f>
        <v>1996227</v>
      </c>
      <c r="Q523" s="14"/>
      <c r="R523" s="13"/>
    </row>
    <row r="524" spans="2:18" ht="15.6" customHeight="1" x14ac:dyDescent="0.25">
      <c r="D524" s="18"/>
      <c r="G524" s="13" t="s">
        <v>228</v>
      </c>
      <c r="H524" s="13"/>
      <c r="I524" s="13"/>
      <c r="J524" s="13"/>
      <c r="K524" s="13"/>
      <c r="L524" s="13"/>
      <c r="M524" s="13"/>
      <c r="N524" s="13" t="s">
        <v>13</v>
      </c>
      <c r="O524" s="13" t="s">
        <v>8</v>
      </c>
      <c r="P524" s="13">
        <f>SUM(P523:P523)</f>
        <v>1996227</v>
      </c>
      <c r="Q524" s="14"/>
      <c r="R524" s="13"/>
    </row>
    <row r="525" spans="2:18" ht="15.6" customHeight="1" x14ac:dyDescent="0.25">
      <c r="D525" s="18"/>
      <c r="G525" s="13" t="s">
        <v>205</v>
      </c>
      <c r="H525" s="13"/>
      <c r="I525" s="13"/>
      <c r="J525" s="13"/>
      <c r="K525" s="13"/>
      <c r="L525" s="13"/>
      <c r="M525" s="13"/>
      <c r="N525" s="13" t="s">
        <v>13</v>
      </c>
      <c r="O525" s="13" t="s">
        <v>8</v>
      </c>
      <c r="P525" s="16">
        <f>INT(P524/1)*1</f>
        <v>1996227</v>
      </c>
      <c r="Q525" s="14"/>
      <c r="R525" s="13"/>
    </row>
    <row r="526" spans="2:18" ht="15.6" customHeight="1" x14ac:dyDescent="0.25">
      <c r="B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4"/>
      <c r="R526" s="13"/>
    </row>
    <row r="527" spans="2:18" ht="15.6" customHeight="1" x14ac:dyDescent="0.25">
      <c r="B527" s="13" t="s">
        <v>416</v>
      </c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4"/>
      <c r="R527" s="13"/>
    </row>
    <row r="528" spans="2:18" ht="15.6" customHeight="1" x14ac:dyDescent="0.25">
      <c r="B528" s="15">
        <v>0.34699999999999998</v>
      </c>
      <c r="C528" s="10" t="s">
        <v>24</v>
      </c>
      <c r="D528" s="10" t="s">
        <v>36</v>
      </c>
      <c r="E528" s="10" t="s">
        <v>15</v>
      </c>
      <c r="F528" s="10" t="s">
        <v>8</v>
      </c>
      <c r="G528" s="13">
        <f>'Unit Price '!E57</f>
        <v>171250</v>
      </c>
      <c r="K528" s="13" t="s">
        <v>9</v>
      </c>
      <c r="L528" s="13" t="s">
        <v>8</v>
      </c>
      <c r="M528" s="13">
        <f>SUM(G528*B528)</f>
        <v>59423.749999999993</v>
      </c>
      <c r="N528" s="13"/>
      <c r="O528" s="13"/>
      <c r="P528" s="13"/>
      <c r="Q528" s="14"/>
      <c r="R528" s="13"/>
    </row>
    <row r="529" spans="2:18" ht="15.6" customHeight="1" x14ac:dyDescent="0.25">
      <c r="B529" s="15">
        <v>1.7000000000000001E-2</v>
      </c>
      <c r="C529" s="10" t="s">
        <v>16</v>
      </c>
      <c r="D529" s="10" t="s">
        <v>358</v>
      </c>
      <c r="E529" s="10" t="s">
        <v>15</v>
      </c>
      <c r="F529" s="10" t="s">
        <v>8</v>
      </c>
      <c r="G529" s="13">
        <f>'Unit Price '!E41</f>
        <v>4795000</v>
      </c>
      <c r="K529" s="13" t="s">
        <v>9</v>
      </c>
      <c r="L529" s="13" t="s">
        <v>8</v>
      </c>
      <c r="M529" s="13">
        <f>SUM(G529*B529)</f>
        <v>81515</v>
      </c>
      <c r="N529" s="13"/>
      <c r="O529" s="13"/>
      <c r="P529" s="13"/>
      <c r="Q529" s="14"/>
      <c r="R529" s="13"/>
    </row>
    <row r="530" spans="2:18" ht="15.6" customHeight="1" x14ac:dyDescent="0.25">
      <c r="B530" s="44">
        <v>0.4</v>
      </c>
      <c r="C530" s="10" t="s">
        <v>17</v>
      </c>
      <c r="D530" s="10" t="s">
        <v>359</v>
      </c>
      <c r="E530" s="10" t="s">
        <v>15</v>
      </c>
      <c r="F530" s="10" t="s">
        <v>8</v>
      </c>
      <c r="G530" s="13">
        <f>'Unit Price '!E27</f>
        <v>27400</v>
      </c>
      <c r="K530" s="13" t="s">
        <v>9</v>
      </c>
      <c r="L530" s="13" t="s">
        <v>8</v>
      </c>
      <c r="M530" s="13">
        <f>SUM(G530*B530)</f>
        <v>10960</v>
      </c>
      <c r="N530" s="13"/>
      <c r="O530" s="13"/>
      <c r="P530" s="13"/>
      <c r="Q530" s="14"/>
      <c r="R530" s="13"/>
    </row>
    <row r="531" spans="2:18" ht="15.6" customHeight="1" x14ac:dyDescent="0.25">
      <c r="B531" s="44">
        <v>0.5</v>
      </c>
      <c r="C531" s="10" t="s">
        <v>44</v>
      </c>
      <c r="D531" s="382" t="s">
        <v>286</v>
      </c>
      <c r="E531" s="10" t="s">
        <v>15</v>
      </c>
      <c r="F531" s="10" t="s">
        <v>8</v>
      </c>
      <c r="G531" s="13">
        <f>'Unit Price '!E111</f>
        <v>164400</v>
      </c>
      <c r="H531" s="13" t="s">
        <v>13</v>
      </c>
      <c r="I531" s="13" t="s">
        <v>8</v>
      </c>
      <c r="J531" s="13">
        <f>SUM(G531*B531)</f>
        <v>82200</v>
      </c>
      <c r="K531" s="13"/>
      <c r="L531" s="13"/>
      <c r="M531" s="13"/>
      <c r="N531" s="13"/>
      <c r="O531" s="13"/>
      <c r="P531" s="13"/>
      <c r="Q531" s="14"/>
      <c r="R531" s="13"/>
    </row>
    <row r="532" spans="2:18" ht="15.6" customHeight="1" x14ac:dyDescent="0.25">
      <c r="B532" s="44">
        <v>0.2</v>
      </c>
      <c r="C532" s="10" t="s">
        <v>44</v>
      </c>
      <c r="D532" s="10" t="s">
        <v>230</v>
      </c>
      <c r="E532" s="10" t="s">
        <v>15</v>
      </c>
      <c r="F532" s="10" t="s">
        <v>8</v>
      </c>
      <c r="G532" s="13">
        <f>+'Unit Price '!E120</f>
        <v>109600</v>
      </c>
      <c r="H532" s="13" t="s">
        <v>13</v>
      </c>
      <c r="I532" s="13" t="s">
        <v>8</v>
      </c>
      <c r="J532" s="13">
        <f>SUM(G532*B532)</f>
        <v>21920</v>
      </c>
      <c r="K532" s="13"/>
      <c r="L532" s="13"/>
      <c r="M532" s="13"/>
      <c r="N532" s="13"/>
      <c r="O532" s="13"/>
      <c r="P532" s="13"/>
      <c r="Q532" s="14"/>
      <c r="R532" s="13"/>
    </row>
    <row r="533" spans="2:18" ht="15.6" customHeight="1" x14ac:dyDescent="0.25">
      <c r="B533" s="10">
        <v>0.05</v>
      </c>
      <c r="C533" s="10" t="s">
        <v>44</v>
      </c>
      <c r="D533" s="18" t="s">
        <v>287</v>
      </c>
      <c r="E533" s="10" t="s">
        <v>15</v>
      </c>
      <c r="F533" s="10" t="s">
        <v>8</v>
      </c>
      <c r="G533" s="13">
        <f>+'Unit Price '!E110</f>
        <v>178100</v>
      </c>
      <c r="H533" s="13" t="s">
        <v>13</v>
      </c>
      <c r="I533" s="13" t="s">
        <v>8</v>
      </c>
      <c r="J533" s="13">
        <f>SUM(G533*B533)</f>
        <v>8905</v>
      </c>
      <c r="K533" s="13"/>
      <c r="L533" s="13"/>
      <c r="M533" s="13"/>
      <c r="N533" s="13"/>
      <c r="O533" s="13"/>
      <c r="P533" s="13" t="s">
        <v>11</v>
      </c>
      <c r="Q533" s="14"/>
      <c r="R533" s="13"/>
    </row>
    <row r="534" spans="2:18" ht="15.6" customHeight="1" x14ac:dyDescent="0.25">
      <c r="B534" s="10">
        <v>0.01</v>
      </c>
      <c r="C534" s="10" t="s">
        <v>44</v>
      </c>
      <c r="D534" s="381" t="s">
        <v>261</v>
      </c>
      <c r="E534" s="10" t="s">
        <v>15</v>
      </c>
      <c r="F534" s="10" t="s">
        <v>8</v>
      </c>
      <c r="G534" s="13">
        <f>+'Unit Price '!E109</f>
        <v>178100</v>
      </c>
      <c r="H534" s="13" t="s">
        <v>13</v>
      </c>
      <c r="I534" s="13" t="s">
        <v>8</v>
      </c>
      <c r="J534" s="13">
        <f>SUM(G534*B534)</f>
        <v>1781</v>
      </c>
      <c r="K534" s="13"/>
      <c r="L534" s="13"/>
      <c r="M534" s="13"/>
      <c r="N534" s="13"/>
      <c r="O534" s="13"/>
      <c r="P534" s="13"/>
      <c r="Q534" s="14" t="s">
        <v>9</v>
      </c>
      <c r="R534" s="13"/>
    </row>
    <row r="535" spans="2:18" ht="15.6" customHeight="1" x14ac:dyDescent="0.25">
      <c r="G535" s="13" t="s">
        <v>228</v>
      </c>
      <c r="H535" s="13" t="s">
        <v>13</v>
      </c>
      <c r="I535" s="13" t="s">
        <v>8</v>
      </c>
      <c r="J535" s="13">
        <f>SUM(J528:J534)</f>
        <v>114806</v>
      </c>
      <c r="K535" s="13" t="s">
        <v>9</v>
      </c>
      <c r="L535" s="13" t="s">
        <v>8</v>
      </c>
      <c r="M535" s="13">
        <f>SUM(M528:M534)</f>
        <v>151898.75</v>
      </c>
      <c r="N535" s="13" t="s">
        <v>13</v>
      </c>
      <c r="O535" s="13" t="s">
        <v>8</v>
      </c>
      <c r="P535" s="13">
        <f>SUM(M535+J535)</f>
        <v>266704.75</v>
      </c>
      <c r="Q535" s="14" t="s">
        <v>26</v>
      </c>
      <c r="R535" s="13"/>
    </row>
    <row r="536" spans="2:18" ht="15.6" customHeight="1" x14ac:dyDescent="0.25">
      <c r="G536" s="13" t="s">
        <v>228</v>
      </c>
      <c r="H536" s="13"/>
      <c r="I536" s="13"/>
      <c r="J536" s="13"/>
      <c r="K536" s="13"/>
      <c r="L536" s="13"/>
      <c r="M536" s="13"/>
      <c r="N536" s="13" t="s">
        <v>13</v>
      </c>
      <c r="O536" s="13" t="s">
        <v>8</v>
      </c>
      <c r="P536" s="13">
        <f>SUM(P535:P535)</f>
        <v>266704.75</v>
      </c>
      <c r="Q536" s="14"/>
      <c r="R536" s="13"/>
    </row>
    <row r="537" spans="2:18" ht="15.6" customHeight="1" x14ac:dyDescent="0.25">
      <c r="G537" s="13" t="s">
        <v>205</v>
      </c>
      <c r="H537" s="13"/>
      <c r="I537" s="13"/>
      <c r="J537" s="13"/>
      <c r="K537" s="13"/>
      <c r="L537" s="13"/>
      <c r="M537" s="13"/>
      <c r="N537" s="13" t="s">
        <v>13</v>
      </c>
      <c r="O537" s="13" t="s">
        <v>8</v>
      </c>
      <c r="P537" s="16">
        <f>INT(P536/1)*1</f>
        <v>266704</v>
      </c>
      <c r="Q537" s="14"/>
      <c r="R537" s="13"/>
    </row>
    <row r="538" spans="2:18" ht="15.6" customHeight="1" x14ac:dyDescent="0.25"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4"/>
      <c r="R538" s="13"/>
    </row>
    <row r="539" spans="2:18" ht="15.6" customHeight="1" x14ac:dyDescent="0.25">
      <c r="B539" s="381" t="s">
        <v>417</v>
      </c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4"/>
      <c r="R539" s="13"/>
    </row>
    <row r="540" spans="2:18" ht="15.6" customHeight="1" x14ac:dyDescent="0.25">
      <c r="B540" s="10">
        <v>4</v>
      </c>
      <c r="C540" s="10" t="s">
        <v>230</v>
      </c>
      <c r="E540" s="10" t="s">
        <v>15</v>
      </c>
      <c r="F540" s="10" t="s">
        <v>8</v>
      </c>
      <c r="G540" s="13">
        <f>+'Unit Price '!E120</f>
        <v>109600</v>
      </c>
      <c r="H540" s="13" t="s">
        <v>13</v>
      </c>
      <c r="I540" s="13" t="s">
        <v>8</v>
      </c>
      <c r="J540" s="13">
        <f>SUM(G540*B540)</f>
        <v>438400</v>
      </c>
      <c r="K540" s="13" t="s">
        <v>9</v>
      </c>
      <c r="L540" s="13"/>
      <c r="M540" s="13"/>
      <c r="N540" s="13"/>
      <c r="O540" s="13"/>
      <c r="P540" s="13"/>
      <c r="Q540" s="14"/>
      <c r="R540" s="13"/>
    </row>
    <row r="541" spans="2:18" ht="15.6" customHeight="1" x14ac:dyDescent="0.25">
      <c r="G541" s="13" t="s">
        <v>228</v>
      </c>
      <c r="H541" s="13" t="s">
        <v>13</v>
      </c>
      <c r="I541" s="13" t="s">
        <v>8</v>
      </c>
      <c r="J541" s="13">
        <f>SUM(J540)</f>
        <v>438400</v>
      </c>
      <c r="K541" s="13"/>
      <c r="L541" s="13"/>
      <c r="M541" s="13"/>
      <c r="N541" s="13"/>
      <c r="O541" s="13"/>
      <c r="P541" s="13"/>
      <c r="Q541" s="14"/>
      <c r="R541" s="13"/>
    </row>
    <row r="542" spans="2:18" ht="15.6" customHeight="1" x14ac:dyDescent="0.25">
      <c r="G542" s="13" t="s">
        <v>228</v>
      </c>
      <c r="H542" s="13" t="s">
        <v>13</v>
      </c>
      <c r="I542" s="13" t="s">
        <v>8</v>
      </c>
      <c r="J542" s="13">
        <f>SUM(J541:J541)</f>
        <v>438400</v>
      </c>
      <c r="K542" s="13"/>
      <c r="L542" s="13"/>
      <c r="M542" s="13"/>
      <c r="N542" s="13"/>
      <c r="O542" s="13"/>
      <c r="P542" s="13"/>
      <c r="Q542" s="14"/>
      <c r="R542" s="13"/>
    </row>
    <row r="543" spans="2:18" ht="15.6" customHeight="1" x14ac:dyDescent="0.25">
      <c r="G543" s="13" t="s">
        <v>205</v>
      </c>
      <c r="H543" s="13" t="s">
        <v>13</v>
      </c>
      <c r="I543" s="13" t="s">
        <v>8</v>
      </c>
      <c r="J543" s="16">
        <f>INT(J542/1)*1</f>
        <v>438400</v>
      </c>
      <c r="K543" s="13"/>
      <c r="L543" s="13"/>
      <c r="M543" s="13"/>
      <c r="N543" s="13"/>
      <c r="O543" s="13"/>
      <c r="P543" s="13"/>
      <c r="Q543" s="14"/>
      <c r="R543" s="13"/>
    </row>
    <row r="544" spans="2:18" ht="15.6" customHeight="1" x14ac:dyDescent="0.25"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4"/>
      <c r="R544" s="13"/>
    </row>
    <row r="545" spans="2:18" ht="15.6" customHeight="1" x14ac:dyDescent="0.25">
      <c r="B545" s="10" t="s">
        <v>418</v>
      </c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4"/>
      <c r="R545" s="13"/>
    </row>
    <row r="546" spans="2:18" ht="15.6" customHeight="1" x14ac:dyDescent="0.25">
      <c r="B546" s="381" t="s">
        <v>362</v>
      </c>
      <c r="E546" s="11">
        <v>1</v>
      </c>
      <c r="F546" s="10" t="s">
        <v>16</v>
      </c>
      <c r="G546" s="13">
        <f>P504</f>
        <v>1249257</v>
      </c>
      <c r="H546" s="13" t="s">
        <v>13</v>
      </c>
      <c r="I546" s="13" t="s">
        <v>8</v>
      </c>
      <c r="J546" s="13">
        <f>G546*E546</f>
        <v>1249257</v>
      </c>
      <c r="K546" s="13"/>
      <c r="L546" s="13"/>
      <c r="M546" s="13"/>
      <c r="N546" s="13"/>
      <c r="O546" s="13"/>
      <c r="P546" s="13"/>
      <c r="Q546" s="14"/>
      <c r="R546" s="13"/>
    </row>
    <row r="547" spans="2:18" ht="15.6" customHeight="1" x14ac:dyDescent="0.25">
      <c r="B547" s="10" t="s">
        <v>360</v>
      </c>
      <c r="E547" s="11">
        <v>125</v>
      </c>
      <c r="F547" s="10" t="s">
        <v>17</v>
      </c>
      <c r="G547" s="13">
        <f>P515</f>
        <v>22739</v>
      </c>
      <c r="H547" s="13" t="s">
        <v>13</v>
      </c>
      <c r="I547" s="13" t="s">
        <v>8</v>
      </c>
      <c r="J547" s="13">
        <f>G547*E547</f>
        <v>2842375</v>
      </c>
      <c r="K547" s="13"/>
      <c r="L547" s="13"/>
      <c r="M547" s="13"/>
      <c r="N547" s="13"/>
      <c r="O547" s="13"/>
      <c r="P547" s="13"/>
      <c r="Q547" s="14"/>
      <c r="R547" s="13"/>
    </row>
    <row r="548" spans="2:18" ht="15.6" customHeight="1" x14ac:dyDescent="0.25">
      <c r="B548" s="10" t="s">
        <v>28</v>
      </c>
      <c r="E548" s="11"/>
      <c r="F548" s="10" t="s">
        <v>23</v>
      </c>
      <c r="G548" s="13">
        <f>P537</f>
        <v>266704</v>
      </c>
      <c r="H548" s="13" t="s">
        <v>13</v>
      </c>
      <c r="I548" s="13" t="s">
        <v>8</v>
      </c>
      <c r="J548" s="13">
        <f>G548*E548</f>
        <v>0</v>
      </c>
      <c r="K548" s="13"/>
      <c r="L548" s="13"/>
      <c r="M548" s="13"/>
      <c r="N548" s="13"/>
      <c r="O548" s="13"/>
      <c r="P548" s="13"/>
      <c r="Q548" s="14"/>
      <c r="R548" s="13"/>
    </row>
    <row r="549" spans="2:18" ht="15.6" customHeight="1" x14ac:dyDescent="0.25">
      <c r="B549" s="10" t="s">
        <v>361</v>
      </c>
      <c r="E549" s="11">
        <v>1</v>
      </c>
      <c r="F549" s="10" t="s">
        <v>33</v>
      </c>
      <c r="G549" s="13">
        <f>J542</f>
        <v>438400</v>
      </c>
      <c r="H549" s="13" t="s">
        <v>13</v>
      </c>
      <c r="I549" s="13" t="s">
        <v>8</v>
      </c>
      <c r="J549" s="13">
        <f>G549*E549</f>
        <v>438400</v>
      </c>
      <c r="K549" s="13"/>
      <c r="L549" s="13"/>
      <c r="M549" s="13"/>
      <c r="N549" s="13"/>
      <c r="O549" s="13"/>
      <c r="P549" s="13"/>
      <c r="Q549" s="14"/>
      <c r="R549" s="13"/>
    </row>
    <row r="550" spans="2:18" ht="15.6" customHeight="1" x14ac:dyDescent="0.25">
      <c r="G550" s="13" t="s">
        <v>228</v>
      </c>
      <c r="H550" s="13" t="s">
        <v>13</v>
      </c>
      <c r="I550" s="13" t="s">
        <v>8</v>
      </c>
      <c r="J550" s="16">
        <f>SUM(J546:J549)</f>
        <v>4530032</v>
      </c>
      <c r="K550" s="13"/>
      <c r="L550" s="13"/>
      <c r="M550" s="13"/>
      <c r="N550" s="13"/>
      <c r="O550" s="13"/>
      <c r="P550" s="13"/>
      <c r="Q550" s="14" t="s">
        <v>26</v>
      </c>
      <c r="R550" s="13"/>
    </row>
    <row r="551" spans="2:18" ht="15.6" customHeight="1" x14ac:dyDescent="0.25"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4"/>
      <c r="R551" s="13"/>
    </row>
    <row r="552" spans="2:18" ht="15.6" customHeight="1" x14ac:dyDescent="0.25">
      <c r="B552" s="10" t="s">
        <v>419</v>
      </c>
      <c r="G552" s="13"/>
      <c r="H552" s="13"/>
      <c r="I552" s="13"/>
      <c r="J552" s="13" t="str">
        <f>P510</f>
        <v xml:space="preserve"> </v>
      </c>
      <c r="K552" s="13"/>
      <c r="L552" s="13"/>
      <c r="M552" s="13"/>
      <c r="N552" s="13"/>
      <c r="O552" s="13"/>
      <c r="P552" s="13"/>
      <c r="Q552" s="14"/>
      <c r="R552" s="13"/>
    </row>
    <row r="553" spans="2:18" ht="15.6" customHeight="1" x14ac:dyDescent="0.25">
      <c r="B553" s="381" t="s">
        <v>362</v>
      </c>
      <c r="E553" s="11">
        <v>1</v>
      </c>
      <c r="F553" s="10" t="s">
        <v>16</v>
      </c>
      <c r="G553" s="13">
        <f>G546</f>
        <v>1249257</v>
      </c>
      <c r="H553" s="13" t="s">
        <v>13</v>
      </c>
      <c r="I553" s="13" t="s">
        <v>8</v>
      </c>
      <c r="J553" s="13">
        <f>G553*E553</f>
        <v>1249257</v>
      </c>
      <c r="K553" s="13"/>
      <c r="L553" s="13"/>
      <c r="M553" s="13"/>
      <c r="N553" s="13"/>
      <c r="O553" s="13"/>
      <c r="P553" s="13"/>
      <c r="Q553" s="14"/>
      <c r="R553" s="13"/>
    </row>
    <row r="554" spans="2:18" ht="15.6" customHeight="1" x14ac:dyDescent="0.25">
      <c r="B554" s="10" t="s">
        <v>360</v>
      </c>
      <c r="E554" s="11">
        <v>150</v>
      </c>
      <c r="F554" s="10" t="s">
        <v>17</v>
      </c>
      <c r="G554" s="13">
        <f>G547</f>
        <v>22739</v>
      </c>
      <c r="H554" s="13" t="s">
        <v>13</v>
      </c>
      <c r="I554" s="13" t="s">
        <v>8</v>
      </c>
      <c r="J554" s="13">
        <f>G554*E554</f>
        <v>3410850</v>
      </c>
      <c r="K554" s="13"/>
      <c r="L554" s="13"/>
      <c r="M554" s="13"/>
      <c r="N554" s="13"/>
      <c r="O554" s="13"/>
      <c r="P554" s="13"/>
      <c r="Q554" s="14"/>
      <c r="R554" s="13"/>
    </row>
    <row r="555" spans="2:18" ht="15.6" customHeight="1" x14ac:dyDescent="0.25">
      <c r="B555" s="10" t="s">
        <v>28</v>
      </c>
      <c r="E555" s="11">
        <v>4.444</v>
      </c>
      <c r="F555" s="10" t="s">
        <v>23</v>
      </c>
      <c r="G555" s="13">
        <f>G548</f>
        <v>266704</v>
      </c>
      <c r="H555" s="13" t="s">
        <v>13</v>
      </c>
      <c r="I555" s="13" t="s">
        <v>8</v>
      </c>
      <c r="J555" s="13">
        <f>G555*E555</f>
        <v>1185232.5759999999</v>
      </c>
      <c r="K555" s="13"/>
      <c r="L555" s="13"/>
      <c r="M555" s="13"/>
      <c r="N555" s="13"/>
      <c r="O555" s="13"/>
      <c r="P555" s="13"/>
      <c r="Q555" s="14"/>
      <c r="R555" s="13"/>
    </row>
    <row r="556" spans="2:18" ht="15.6" customHeight="1" x14ac:dyDescent="0.25">
      <c r="B556" s="10" t="s">
        <v>361</v>
      </c>
      <c r="E556" s="11">
        <v>1</v>
      </c>
      <c r="F556" s="10" t="s">
        <v>33</v>
      </c>
      <c r="G556" s="13">
        <f>G549</f>
        <v>438400</v>
      </c>
      <c r="H556" s="13" t="s">
        <v>13</v>
      </c>
      <c r="I556" s="13" t="s">
        <v>8</v>
      </c>
      <c r="J556" s="13">
        <f>G556*E556</f>
        <v>438400</v>
      </c>
      <c r="K556" s="13"/>
      <c r="L556" s="13"/>
      <c r="M556" s="13"/>
      <c r="N556" s="13"/>
      <c r="O556" s="13"/>
      <c r="P556" s="13"/>
      <c r="Q556" s="14"/>
      <c r="R556" s="13"/>
    </row>
    <row r="557" spans="2:18" ht="15.6" customHeight="1" x14ac:dyDescent="0.25">
      <c r="G557" s="13" t="s">
        <v>228</v>
      </c>
      <c r="H557" s="13" t="s">
        <v>13</v>
      </c>
      <c r="I557" s="13" t="s">
        <v>8</v>
      </c>
      <c r="J557" s="16">
        <f>SUM(J553:J556)</f>
        <v>6283739.5759999994</v>
      </c>
      <c r="K557" s="13"/>
      <c r="L557" s="13"/>
      <c r="M557" s="13"/>
      <c r="N557" s="13"/>
      <c r="O557" s="13"/>
      <c r="P557" s="13"/>
      <c r="Q557" s="14"/>
      <c r="R557" s="13"/>
    </row>
    <row r="558" spans="2:18" ht="15.6" customHeight="1" x14ac:dyDescent="0.25"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4"/>
      <c r="R558" s="13"/>
    </row>
    <row r="559" spans="2:18" ht="15.6" customHeight="1" x14ac:dyDescent="0.25"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4"/>
      <c r="R559" s="13"/>
    </row>
    <row r="560" spans="2:18" ht="15.6" customHeight="1" x14ac:dyDescent="0.25">
      <c r="B560" s="10" t="s">
        <v>420</v>
      </c>
      <c r="G560" s="13"/>
      <c r="H560" s="13"/>
      <c r="I560" s="13"/>
      <c r="J560" s="13">
        <f>P517</f>
        <v>0</v>
      </c>
      <c r="K560" s="13"/>
      <c r="L560" s="13"/>
      <c r="M560" s="13"/>
      <c r="N560" s="13"/>
      <c r="O560" s="13"/>
      <c r="P560" s="13"/>
      <c r="Q560" s="14"/>
      <c r="R560" s="13"/>
    </row>
    <row r="561" spans="2:18" ht="15.6" customHeight="1" x14ac:dyDescent="0.25">
      <c r="B561" s="381" t="s">
        <v>362</v>
      </c>
      <c r="E561" s="11">
        <v>1</v>
      </c>
      <c r="F561" s="10" t="s">
        <v>16</v>
      </c>
      <c r="G561" s="13">
        <f>G553</f>
        <v>1249257</v>
      </c>
      <c r="H561" s="13" t="s">
        <v>13</v>
      </c>
      <c r="I561" s="13" t="s">
        <v>8</v>
      </c>
      <c r="J561" s="13">
        <f>G561*E561</f>
        <v>1249257</v>
      </c>
      <c r="K561" s="13"/>
      <c r="L561" s="13"/>
      <c r="M561" s="13"/>
      <c r="N561" s="13"/>
      <c r="O561" s="13"/>
      <c r="P561" s="13"/>
      <c r="Q561" s="14"/>
      <c r="R561" s="13"/>
    </row>
    <row r="562" spans="2:18" ht="15.6" customHeight="1" x14ac:dyDescent="0.25">
      <c r="B562" s="10" t="s">
        <v>360</v>
      </c>
      <c r="E562" s="11">
        <v>190</v>
      </c>
      <c r="F562" s="10" t="s">
        <v>17</v>
      </c>
      <c r="G562" s="13">
        <f>G554</f>
        <v>22739</v>
      </c>
      <c r="H562" s="13" t="s">
        <v>13</v>
      </c>
      <c r="I562" s="13" t="s">
        <v>8</v>
      </c>
      <c r="J562" s="13">
        <f>G562*E562</f>
        <v>4320410</v>
      </c>
      <c r="K562" s="13"/>
      <c r="L562" s="13"/>
      <c r="M562" s="13"/>
      <c r="N562" s="13"/>
      <c r="O562" s="13"/>
      <c r="P562" s="13"/>
      <c r="Q562" s="14"/>
      <c r="R562" s="13"/>
    </row>
    <row r="563" spans="2:18" ht="15.6" customHeight="1" x14ac:dyDescent="0.25">
      <c r="B563" s="10" t="s">
        <v>28</v>
      </c>
      <c r="E563" s="11">
        <v>7.4</v>
      </c>
      <c r="F563" s="10" t="s">
        <v>23</v>
      </c>
      <c r="G563" s="13">
        <f>G555</f>
        <v>266704</v>
      </c>
      <c r="H563" s="13" t="s">
        <v>13</v>
      </c>
      <c r="I563" s="13" t="s">
        <v>8</v>
      </c>
      <c r="J563" s="13">
        <f>G563*E563</f>
        <v>1973609.6</v>
      </c>
      <c r="K563" s="13"/>
      <c r="L563" s="13"/>
      <c r="M563" s="13"/>
      <c r="N563" s="13"/>
      <c r="O563" s="13"/>
      <c r="P563" s="13"/>
      <c r="Q563" s="14"/>
      <c r="R563" s="13"/>
    </row>
    <row r="564" spans="2:18" ht="15.6" customHeight="1" x14ac:dyDescent="0.25">
      <c r="B564" s="10" t="s">
        <v>361</v>
      </c>
      <c r="E564" s="11">
        <v>1</v>
      </c>
      <c r="F564" s="10" t="s">
        <v>33</v>
      </c>
      <c r="G564" s="13">
        <f>G556</f>
        <v>438400</v>
      </c>
      <c r="H564" s="13" t="s">
        <v>13</v>
      </c>
      <c r="I564" s="13" t="s">
        <v>8</v>
      </c>
      <c r="J564" s="13">
        <f>G564*E564</f>
        <v>438400</v>
      </c>
      <c r="K564" s="13"/>
      <c r="L564" s="13"/>
      <c r="M564" s="13"/>
      <c r="N564" s="13"/>
      <c r="O564" s="13"/>
      <c r="P564" s="13"/>
      <c r="Q564" s="14"/>
      <c r="R564" s="13"/>
    </row>
    <row r="565" spans="2:18" ht="15.6" customHeight="1" x14ac:dyDescent="0.25">
      <c r="G565" s="13" t="s">
        <v>228</v>
      </c>
      <c r="H565" s="13" t="s">
        <v>13</v>
      </c>
      <c r="I565" s="13" t="s">
        <v>8</v>
      </c>
      <c r="J565" s="16">
        <f>SUM(J561:J564)</f>
        <v>7981676.5999999996</v>
      </c>
      <c r="K565" s="13"/>
      <c r="L565" s="13"/>
      <c r="M565" s="13"/>
      <c r="N565" s="13"/>
      <c r="O565" s="13"/>
      <c r="P565" s="13"/>
      <c r="Q565" s="14"/>
      <c r="R565" s="13"/>
    </row>
    <row r="566" spans="2:18" ht="15.6" customHeight="1" x14ac:dyDescent="0.25"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4"/>
      <c r="R566" s="13"/>
    </row>
    <row r="567" spans="2:18" ht="15.6" customHeight="1" x14ac:dyDescent="0.25">
      <c r="B567" s="10" t="s">
        <v>421</v>
      </c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4"/>
      <c r="R567" s="13"/>
    </row>
    <row r="568" spans="2:18" ht="15.6" customHeight="1" x14ac:dyDescent="0.25">
      <c r="B568" s="381" t="s">
        <v>362</v>
      </c>
      <c r="E568" s="11">
        <v>1</v>
      </c>
      <c r="F568" s="10" t="s">
        <v>16</v>
      </c>
      <c r="G568" s="13">
        <f>G553</f>
        <v>1249257</v>
      </c>
      <c r="H568" s="13" t="s">
        <v>13</v>
      </c>
      <c r="I568" s="13" t="s">
        <v>8</v>
      </c>
      <c r="J568" s="13">
        <f>G568*E568</f>
        <v>1249257</v>
      </c>
      <c r="K568" s="13"/>
      <c r="L568" s="13"/>
      <c r="M568" s="13"/>
      <c r="N568" s="13"/>
      <c r="O568" s="13"/>
      <c r="P568" s="13"/>
      <c r="Q568" s="14"/>
      <c r="R568" s="13"/>
    </row>
    <row r="569" spans="2:18" ht="15.6" customHeight="1" x14ac:dyDescent="0.25">
      <c r="B569" s="10" t="s">
        <v>360</v>
      </c>
      <c r="E569" s="14">
        <v>150</v>
      </c>
      <c r="F569" s="10" t="s">
        <v>17</v>
      </c>
      <c r="G569" s="13">
        <f>G554</f>
        <v>22739</v>
      </c>
      <c r="H569" s="13" t="s">
        <v>13</v>
      </c>
      <c r="I569" s="13" t="s">
        <v>8</v>
      </c>
      <c r="J569" s="13">
        <f>G569*E569</f>
        <v>3410850</v>
      </c>
      <c r="K569" s="13"/>
      <c r="L569" s="13"/>
      <c r="M569" s="13"/>
      <c r="N569" s="13"/>
      <c r="O569" s="13"/>
      <c r="P569" s="13"/>
      <c r="Q569" s="14"/>
      <c r="R569" s="13"/>
    </row>
    <row r="570" spans="2:18" ht="15.6" customHeight="1" x14ac:dyDescent="0.25">
      <c r="B570" s="10" t="s">
        <v>363</v>
      </c>
      <c r="E570" s="11">
        <v>1</v>
      </c>
      <c r="F570" s="10" t="s">
        <v>49</v>
      </c>
      <c r="G570" s="13">
        <f>P525</f>
        <v>1996227</v>
      </c>
      <c r="H570" s="13" t="s">
        <v>13</v>
      </c>
      <c r="I570" s="13" t="s">
        <v>8</v>
      </c>
      <c r="J570" s="13">
        <f>G570*E570</f>
        <v>1996227</v>
      </c>
      <c r="K570" s="13"/>
      <c r="L570" s="13"/>
      <c r="M570" s="13"/>
      <c r="N570" s="13"/>
      <c r="O570" s="13"/>
      <c r="P570" s="13"/>
      <c r="Q570" s="14"/>
      <c r="R570" s="13"/>
    </row>
    <row r="571" spans="2:18" ht="15.6" customHeight="1" x14ac:dyDescent="0.25">
      <c r="B571" s="10" t="s">
        <v>28</v>
      </c>
      <c r="E571" s="11">
        <v>5.92</v>
      </c>
      <c r="F571" s="10" t="s">
        <v>23</v>
      </c>
      <c r="G571" s="13">
        <f>G555</f>
        <v>266704</v>
      </c>
      <c r="H571" s="13" t="s">
        <v>13</v>
      </c>
      <c r="I571" s="13" t="s">
        <v>8</v>
      </c>
      <c r="J571" s="13">
        <f>G571*E571</f>
        <v>1578887.68</v>
      </c>
      <c r="K571" s="13"/>
      <c r="L571" s="13"/>
      <c r="M571" s="13"/>
      <c r="N571" s="13"/>
      <c r="O571" s="13"/>
      <c r="P571" s="13"/>
      <c r="Q571" s="14"/>
      <c r="R571" s="13"/>
    </row>
    <row r="572" spans="2:18" ht="15.6" customHeight="1" x14ac:dyDescent="0.25">
      <c r="B572" s="10" t="s">
        <v>361</v>
      </c>
      <c r="E572" s="11">
        <v>1</v>
      </c>
      <c r="F572" s="10" t="s">
        <v>33</v>
      </c>
      <c r="G572" s="13">
        <f>G556</f>
        <v>438400</v>
      </c>
      <c r="H572" s="13" t="s">
        <v>13</v>
      </c>
      <c r="I572" s="13" t="s">
        <v>8</v>
      </c>
      <c r="J572" s="13">
        <f>G572*E572</f>
        <v>438400</v>
      </c>
      <c r="K572" s="13"/>
      <c r="L572" s="13"/>
      <c r="M572" s="13"/>
      <c r="N572" s="13"/>
      <c r="O572" s="13"/>
      <c r="P572" s="13"/>
      <c r="Q572" s="14"/>
      <c r="R572" s="13"/>
    </row>
    <row r="573" spans="2:18" ht="15.6" customHeight="1" x14ac:dyDescent="0.25">
      <c r="G573" s="13" t="s">
        <v>228</v>
      </c>
      <c r="H573" s="13" t="s">
        <v>13</v>
      </c>
      <c r="I573" s="13" t="s">
        <v>8</v>
      </c>
      <c r="J573" s="16">
        <f>SUM(J568:J572)</f>
        <v>8673621.6799999997</v>
      </c>
      <c r="K573" s="13"/>
      <c r="L573" s="13"/>
      <c r="M573" s="13"/>
      <c r="N573" s="13"/>
      <c r="O573" s="13"/>
      <c r="P573" s="13"/>
      <c r="Q573" s="14"/>
      <c r="R573" s="13"/>
    </row>
    <row r="574" spans="2:18" ht="15.6" customHeight="1" x14ac:dyDescent="0.25"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4"/>
      <c r="R574" s="13"/>
    </row>
    <row r="575" spans="2:18" ht="15.6" customHeight="1" x14ac:dyDescent="0.25"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4"/>
      <c r="R575" s="13"/>
    </row>
    <row r="576" spans="2:18" ht="15.6" customHeight="1" x14ac:dyDescent="0.25">
      <c r="B576" s="10" t="s">
        <v>422</v>
      </c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4"/>
      <c r="R576" s="13"/>
    </row>
    <row r="577" spans="1:18" ht="15.6" customHeight="1" x14ac:dyDescent="0.25">
      <c r="B577" s="381" t="s">
        <v>362</v>
      </c>
      <c r="E577" s="11">
        <v>1</v>
      </c>
      <c r="F577" s="10" t="s">
        <v>16</v>
      </c>
      <c r="G577" s="13">
        <f>G568</f>
        <v>1249257</v>
      </c>
      <c r="H577" s="13" t="s">
        <v>13</v>
      </c>
      <c r="I577" s="13" t="s">
        <v>8</v>
      </c>
      <c r="J577" s="13">
        <f>G577*E577</f>
        <v>1249257</v>
      </c>
      <c r="K577" s="13"/>
      <c r="L577" s="13"/>
      <c r="M577" s="13"/>
      <c r="N577" s="13"/>
      <c r="O577" s="13"/>
      <c r="P577" s="13"/>
      <c r="Q577" s="14"/>
      <c r="R577" s="13"/>
    </row>
    <row r="578" spans="1:18" ht="15.6" customHeight="1" x14ac:dyDescent="0.25">
      <c r="B578" s="10" t="s">
        <v>360</v>
      </c>
      <c r="E578" s="11">
        <v>175</v>
      </c>
      <c r="F578" s="10" t="s">
        <v>17</v>
      </c>
      <c r="G578" s="13">
        <f>G569</f>
        <v>22739</v>
      </c>
      <c r="H578" s="13" t="s">
        <v>13</v>
      </c>
      <c r="I578" s="13" t="s">
        <v>8</v>
      </c>
      <c r="J578" s="13">
        <f>G578*E578</f>
        <v>3979325</v>
      </c>
      <c r="K578" s="13"/>
      <c r="L578" s="13"/>
      <c r="M578" s="13"/>
      <c r="N578" s="13"/>
      <c r="O578" s="13"/>
      <c r="P578" s="13"/>
      <c r="Q578" s="14"/>
      <c r="R578" s="13"/>
    </row>
    <row r="579" spans="1:18" ht="15.6" customHeight="1" x14ac:dyDescent="0.25">
      <c r="B579" s="10" t="s">
        <v>28</v>
      </c>
      <c r="E579" s="11">
        <v>5.556</v>
      </c>
      <c r="F579" s="10" t="s">
        <v>23</v>
      </c>
      <c r="G579" s="13">
        <f>G571</f>
        <v>266704</v>
      </c>
      <c r="H579" s="13" t="s">
        <v>13</v>
      </c>
      <c r="I579" s="13" t="s">
        <v>8</v>
      </c>
      <c r="J579" s="13">
        <f>G579*E579</f>
        <v>1481807.4240000001</v>
      </c>
      <c r="K579" s="13"/>
      <c r="L579" s="13"/>
      <c r="M579" s="13"/>
      <c r="N579" s="13"/>
      <c r="O579" s="13"/>
      <c r="P579" s="13"/>
      <c r="Q579" s="14"/>
      <c r="R579" s="13"/>
    </row>
    <row r="580" spans="1:18" ht="15.6" customHeight="1" x14ac:dyDescent="0.25">
      <c r="B580" s="10" t="s">
        <v>361</v>
      </c>
      <c r="E580" s="11">
        <v>1</v>
      </c>
      <c r="F580" s="10" t="s">
        <v>33</v>
      </c>
      <c r="G580" s="13">
        <f>G572</f>
        <v>438400</v>
      </c>
      <c r="H580" s="13" t="s">
        <v>13</v>
      </c>
      <c r="I580" s="13" t="s">
        <v>8</v>
      </c>
      <c r="J580" s="13">
        <f>G580*E580</f>
        <v>438400</v>
      </c>
      <c r="K580" s="13"/>
      <c r="L580" s="13"/>
      <c r="M580" s="13"/>
      <c r="N580" s="13"/>
      <c r="O580" s="13"/>
      <c r="P580" s="13"/>
      <c r="Q580" s="14"/>
      <c r="R580" s="13"/>
    </row>
    <row r="581" spans="1:18" ht="15.6" customHeight="1" x14ac:dyDescent="0.25">
      <c r="G581" s="13" t="s">
        <v>228</v>
      </c>
      <c r="H581" s="13" t="s">
        <v>13</v>
      </c>
      <c r="I581" s="13" t="s">
        <v>8</v>
      </c>
      <c r="J581" s="16">
        <f>SUM(J577:J580)</f>
        <v>7148789.4240000006</v>
      </c>
      <c r="K581" s="13"/>
      <c r="L581" s="13"/>
      <c r="M581" s="13"/>
      <c r="N581" s="13"/>
      <c r="O581" s="13"/>
      <c r="P581" s="13"/>
      <c r="Q581" s="14"/>
      <c r="R581" s="13"/>
    </row>
    <row r="582" spans="1:18" ht="15.6" customHeight="1" x14ac:dyDescent="0.25"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4"/>
      <c r="R582" s="13"/>
    </row>
    <row r="583" spans="1:18" ht="15.6" customHeight="1" x14ac:dyDescent="0.25">
      <c r="A583" s="10" t="s">
        <v>11</v>
      </c>
      <c r="B583" s="10" t="s">
        <v>423</v>
      </c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4"/>
      <c r="R583" s="13"/>
    </row>
    <row r="584" spans="1:18" ht="15.6" customHeight="1" x14ac:dyDescent="0.25">
      <c r="B584" s="381" t="s">
        <v>362</v>
      </c>
      <c r="E584" s="11">
        <v>1</v>
      </c>
      <c r="F584" s="10" t="s">
        <v>16</v>
      </c>
      <c r="G584" s="13">
        <f>G577</f>
        <v>1249257</v>
      </c>
      <c r="H584" s="13" t="s">
        <v>13</v>
      </c>
      <c r="I584" s="13" t="s">
        <v>8</v>
      </c>
      <c r="J584" s="13">
        <f>G584*E584</f>
        <v>1249257</v>
      </c>
      <c r="K584" s="13"/>
      <c r="L584" s="13"/>
      <c r="M584" s="13"/>
      <c r="N584" s="13"/>
      <c r="O584" s="13"/>
      <c r="P584" s="13"/>
      <c r="Q584" s="14"/>
      <c r="R584" s="13"/>
    </row>
    <row r="585" spans="1:18" ht="15.6" customHeight="1" x14ac:dyDescent="0.25">
      <c r="B585" s="10" t="s">
        <v>360</v>
      </c>
      <c r="E585" s="11">
        <v>170</v>
      </c>
      <c r="F585" s="10" t="s">
        <v>17</v>
      </c>
      <c r="G585" s="13">
        <f>G578</f>
        <v>22739</v>
      </c>
      <c r="H585" s="13" t="s">
        <v>13</v>
      </c>
      <c r="I585" s="13" t="s">
        <v>8</v>
      </c>
      <c r="J585" s="13">
        <f>G585*E585</f>
        <v>3865630</v>
      </c>
      <c r="K585" s="13"/>
      <c r="L585" s="13"/>
      <c r="M585" s="13"/>
      <c r="N585" s="13"/>
      <c r="O585" s="13"/>
      <c r="P585" s="13"/>
      <c r="Q585" s="14"/>
      <c r="R585" s="13"/>
    </row>
    <row r="586" spans="1:18" ht="15.6" customHeight="1" x14ac:dyDescent="0.25">
      <c r="B586" s="10" t="s">
        <v>363</v>
      </c>
      <c r="E586" s="11">
        <v>1</v>
      </c>
      <c r="F586" s="10" t="s">
        <v>49</v>
      </c>
      <c r="G586" s="13">
        <f>P525</f>
        <v>1996227</v>
      </c>
      <c r="H586" s="13" t="s">
        <v>13</v>
      </c>
      <c r="I586" s="13" t="s">
        <v>8</v>
      </c>
      <c r="J586" s="13">
        <f>G586*E586</f>
        <v>1996227</v>
      </c>
      <c r="K586" s="13"/>
      <c r="L586" s="13"/>
      <c r="M586" s="13"/>
      <c r="N586" s="13"/>
      <c r="O586" s="13"/>
      <c r="P586" s="13"/>
      <c r="Q586" s="14"/>
      <c r="R586" s="13"/>
    </row>
    <row r="587" spans="1:18" ht="15.6" customHeight="1" x14ac:dyDescent="0.25">
      <c r="B587" s="10" t="s">
        <v>28</v>
      </c>
      <c r="E587" s="11">
        <v>5.7779999999999996</v>
      </c>
      <c r="F587" s="10" t="s">
        <v>23</v>
      </c>
      <c r="G587" s="13">
        <f>G579</f>
        <v>266704</v>
      </c>
      <c r="H587" s="13" t="s">
        <v>13</v>
      </c>
      <c r="I587" s="13" t="s">
        <v>8</v>
      </c>
      <c r="J587" s="13">
        <f>G587*E587</f>
        <v>1541015.7119999998</v>
      </c>
      <c r="K587" s="13"/>
      <c r="L587" s="13"/>
      <c r="M587" s="13"/>
      <c r="N587" s="13"/>
      <c r="O587" s="13"/>
      <c r="P587" s="13"/>
      <c r="Q587" s="14"/>
      <c r="R587" s="13"/>
    </row>
    <row r="588" spans="1:18" ht="15.6" customHeight="1" x14ac:dyDescent="0.25">
      <c r="B588" s="10" t="s">
        <v>361</v>
      </c>
      <c r="E588" s="11">
        <v>1</v>
      </c>
      <c r="F588" s="10" t="s">
        <v>33</v>
      </c>
      <c r="G588" s="13">
        <f>G580</f>
        <v>438400</v>
      </c>
      <c r="H588" s="13" t="s">
        <v>13</v>
      </c>
      <c r="I588" s="13" t="s">
        <v>8</v>
      </c>
      <c r="J588" s="13">
        <f>G588*E588</f>
        <v>438400</v>
      </c>
      <c r="K588" s="13"/>
      <c r="L588" s="13"/>
      <c r="M588" s="13"/>
      <c r="N588" s="13"/>
      <c r="O588" s="13"/>
      <c r="P588" s="13"/>
      <c r="Q588" s="14"/>
      <c r="R588" s="13"/>
    </row>
    <row r="589" spans="1:18" ht="15.6" customHeight="1" x14ac:dyDescent="0.25">
      <c r="G589" s="13" t="s">
        <v>228</v>
      </c>
      <c r="H589" s="13" t="s">
        <v>13</v>
      </c>
      <c r="I589" s="13" t="s">
        <v>8</v>
      </c>
      <c r="J589" s="16">
        <f>SUM(J584:J588)</f>
        <v>9090529.7119999994</v>
      </c>
      <c r="K589" s="13"/>
      <c r="L589" s="13"/>
      <c r="M589" s="13"/>
      <c r="N589" s="13"/>
      <c r="O589" s="13"/>
      <c r="P589" s="13"/>
      <c r="Q589" s="14"/>
      <c r="R589" s="13"/>
    </row>
    <row r="590" spans="1:18" ht="15.6" customHeight="1" x14ac:dyDescent="0.25">
      <c r="G590" s="13"/>
      <c r="H590" s="13"/>
      <c r="I590" s="13"/>
      <c r="J590" s="16"/>
      <c r="K590" s="13"/>
      <c r="L590" s="13"/>
      <c r="M590" s="13"/>
      <c r="N590" s="13"/>
      <c r="O590" s="13"/>
      <c r="P590" s="13"/>
      <c r="Q590" s="14"/>
      <c r="R590" s="13"/>
    </row>
    <row r="591" spans="1:18" ht="15.6" customHeight="1" x14ac:dyDescent="0.25">
      <c r="B591" s="10" t="s">
        <v>424</v>
      </c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4"/>
      <c r="R591" s="13"/>
    </row>
    <row r="592" spans="1:18" ht="15.6" customHeight="1" x14ac:dyDescent="0.25">
      <c r="B592" s="381" t="s">
        <v>362</v>
      </c>
      <c r="E592" s="11">
        <v>1</v>
      </c>
      <c r="F592" s="10" t="s">
        <v>16</v>
      </c>
      <c r="G592" s="13">
        <f>G577</f>
        <v>1249257</v>
      </c>
      <c r="H592" s="13" t="s">
        <v>13</v>
      </c>
      <c r="I592" s="13" t="s">
        <v>8</v>
      </c>
      <c r="J592" s="13">
        <f>G592*E592</f>
        <v>1249257</v>
      </c>
      <c r="K592" s="13"/>
      <c r="L592" s="13"/>
      <c r="M592" s="13"/>
      <c r="N592" s="13"/>
      <c r="O592" s="13"/>
      <c r="P592" s="13"/>
      <c r="Q592" s="14"/>
      <c r="R592" s="13"/>
    </row>
    <row r="593" spans="2:18" ht="15.6" customHeight="1" x14ac:dyDescent="0.25">
      <c r="B593" s="10" t="s">
        <v>360</v>
      </c>
      <c r="E593" s="11">
        <v>180</v>
      </c>
      <c r="F593" s="10" t="s">
        <v>17</v>
      </c>
      <c r="G593" s="13">
        <f>G578</f>
        <v>22739</v>
      </c>
      <c r="H593" s="13" t="s">
        <v>13</v>
      </c>
      <c r="I593" s="13" t="s">
        <v>8</v>
      </c>
      <c r="J593" s="13">
        <f>G593*E593</f>
        <v>4093020</v>
      </c>
      <c r="K593" s="13"/>
      <c r="L593" s="13"/>
      <c r="M593" s="13"/>
      <c r="N593" s="13"/>
      <c r="O593" s="13"/>
      <c r="P593" s="13"/>
      <c r="Q593" s="14"/>
      <c r="R593" s="13"/>
    </row>
    <row r="594" spans="2:18" ht="15.6" customHeight="1" x14ac:dyDescent="0.25">
      <c r="B594" s="10" t="s">
        <v>28</v>
      </c>
      <c r="E594" s="11">
        <v>5.556</v>
      </c>
      <c r="F594" s="10" t="s">
        <v>23</v>
      </c>
      <c r="G594" s="13">
        <f>G579</f>
        <v>266704</v>
      </c>
      <c r="H594" s="13" t="s">
        <v>13</v>
      </c>
      <c r="I594" s="13" t="s">
        <v>8</v>
      </c>
      <c r="J594" s="13">
        <f>G594*E594</f>
        <v>1481807.4240000001</v>
      </c>
      <c r="K594" s="13"/>
      <c r="L594" s="13"/>
      <c r="M594" s="13"/>
      <c r="N594" s="13"/>
      <c r="O594" s="13"/>
      <c r="P594" s="13"/>
      <c r="Q594" s="14"/>
      <c r="R594" s="13"/>
    </row>
    <row r="595" spans="2:18" ht="15.6" customHeight="1" x14ac:dyDescent="0.25">
      <c r="B595" s="10" t="s">
        <v>361</v>
      </c>
      <c r="E595" s="11">
        <v>1</v>
      </c>
      <c r="F595" s="10" t="s">
        <v>33</v>
      </c>
      <c r="G595" s="13">
        <f>G580</f>
        <v>438400</v>
      </c>
      <c r="H595" s="13" t="s">
        <v>13</v>
      </c>
      <c r="I595" s="13" t="s">
        <v>8</v>
      </c>
      <c r="J595" s="13">
        <f>G595*E595</f>
        <v>438400</v>
      </c>
      <c r="K595" s="13"/>
      <c r="L595" s="13"/>
      <c r="M595" s="13"/>
      <c r="N595" s="13"/>
      <c r="O595" s="13"/>
      <c r="P595" s="13"/>
      <c r="Q595" s="14"/>
      <c r="R595" s="13"/>
    </row>
    <row r="596" spans="2:18" ht="15.6" customHeight="1" x14ac:dyDescent="0.25">
      <c r="G596" s="13" t="s">
        <v>228</v>
      </c>
      <c r="H596" s="13" t="s">
        <v>13</v>
      </c>
      <c r="I596" s="13"/>
      <c r="J596" s="16">
        <f>SUM(J592:J595)</f>
        <v>7262484.4240000006</v>
      </c>
      <c r="K596" s="13"/>
      <c r="L596" s="13"/>
      <c r="M596" s="13"/>
      <c r="N596" s="13"/>
      <c r="O596" s="13"/>
      <c r="P596" s="13"/>
      <c r="Q596" s="14"/>
      <c r="R596" s="13"/>
    </row>
    <row r="597" spans="2:18" ht="15.6" customHeight="1" x14ac:dyDescent="0.25">
      <c r="B597" s="10" t="s">
        <v>425</v>
      </c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4"/>
      <c r="R597" s="13"/>
    </row>
    <row r="598" spans="2:18" ht="15.6" customHeight="1" x14ac:dyDescent="0.25">
      <c r="B598" s="381" t="s">
        <v>362</v>
      </c>
      <c r="E598" s="11">
        <v>1</v>
      </c>
      <c r="F598" s="10" t="s">
        <v>16</v>
      </c>
      <c r="G598" s="13">
        <f>G592</f>
        <v>1249257</v>
      </c>
      <c r="H598" s="13" t="s">
        <v>13</v>
      </c>
      <c r="I598" s="13" t="s">
        <v>8</v>
      </c>
      <c r="J598" s="13">
        <f>G598*E598</f>
        <v>1249257</v>
      </c>
      <c r="K598" s="13"/>
      <c r="L598" s="13"/>
      <c r="M598" s="13"/>
      <c r="N598" s="13"/>
      <c r="O598" s="13"/>
      <c r="P598" s="13"/>
      <c r="Q598" s="14"/>
      <c r="R598" s="13"/>
    </row>
    <row r="599" spans="2:18" ht="15.6" customHeight="1" x14ac:dyDescent="0.25">
      <c r="B599" s="10" t="s">
        <v>360</v>
      </c>
      <c r="E599" s="11">
        <v>50</v>
      </c>
      <c r="F599" s="10" t="s">
        <v>17</v>
      </c>
      <c r="G599" s="13">
        <f>G593</f>
        <v>22739</v>
      </c>
      <c r="H599" s="13" t="s">
        <v>13</v>
      </c>
      <c r="I599" s="13" t="s">
        <v>8</v>
      </c>
      <c r="J599" s="13">
        <f>G599*E599</f>
        <v>1136950</v>
      </c>
      <c r="K599" s="13"/>
      <c r="L599" s="13"/>
      <c r="M599" s="13"/>
      <c r="N599" s="13"/>
      <c r="O599" s="13"/>
      <c r="P599" s="13"/>
      <c r="Q599" s="14"/>
      <c r="R599" s="13"/>
    </row>
    <row r="600" spans="2:18" ht="15.6" customHeight="1" x14ac:dyDescent="0.25">
      <c r="B600" s="10" t="s">
        <v>28</v>
      </c>
      <c r="E600" s="11">
        <v>6.6669999999999998</v>
      </c>
      <c r="F600" s="10" t="s">
        <v>23</v>
      </c>
      <c r="G600" s="13">
        <f>G587</f>
        <v>266704</v>
      </c>
      <c r="H600" s="13" t="s">
        <v>13</v>
      </c>
      <c r="I600" s="13" t="s">
        <v>8</v>
      </c>
      <c r="J600" s="13">
        <f>G600*E600</f>
        <v>1778115.568</v>
      </c>
      <c r="K600" s="13"/>
      <c r="L600" s="13"/>
      <c r="M600" s="13"/>
      <c r="N600" s="13"/>
      <c r="O600" s="13"/>
      <c r="P600" s="13"/>
      <c r="Q600" s="14"/>
      <c r="R600" s="13"/>
    </row>
    <row r="601" spans="2:18" ht="15.6" customHeight="1" x14ac:dyDescent="0.25">
      <c r="B601" s="10" t="s">
        <v>361</v>
      </c>
      <c r="E601" s="11">
        <v>1</v>
      </c>
      <c r="F601" s="10" t="s">
        <v>33</v>
      </c>
      <c r="G601" s="13">
        <f>J543</f>
        <v>438400</v>
      </c>
      <c r="H601" s="13" t="s">
        <v>13</v>
      </c>
      <c r="I601" s="13" t="s">
        <v>8</v>
      </c>
      <c r="J601" s="13">
        <f>G601*E601</f>
        <v>438400</v>
      </c>
      <c r="K601" s="13"/>
      <c r="L601" s="13"/>
      <c r="M601" s="13"/>
      <c r="N601" s="13"/>
      <c r="O601" s="13"/>
      <c r="P601" s="13"/>
      <c r="Q601" s="14"/>
      <c r="R601" s="13"/>
    </row>
    <row r="602" spans="2:18" ht="15.6" customHeight="1" x14ac:dyDescent="0.25">
      <c r="G602" s="13" t="s">
        <v>228</v>
      </c>
      <c r="H602" s="13" t="s">
        <v>13</v>
      </c>
      <c r="I602" s="13" t="s">
        <v>8</v>
      </c>
      <c r="J602" s="16">
        <f>SUM(J598:J601)</f>
        <v>4602722.568</v>
      </c>
      <c r="K602" s="13"/>
      <c r="L602" s="13"/>
      <c r="M602" s="13"/>
      <c r="N602" s="13"/>
      <c r="O602" s="13"/>
      <c r="P602" s="13"/>
      <c r="Q602" s="14"/>
      <c r="R602" s="13"/>
    </row>
    <row r="603" spans="2:18" ht="15.6" customHeight="1" x14ac:dyDescent="0.25"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4"/>
      <c r="R603" s="13"/>
    </row>
    <row r="604" spans="2:18" ht="15.6" customHeight="1" x14ac:dyDescent="0.25"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4"/>
      <c r="R604" s="13"/>
    </row>
    <row r="605" spans="2:18" ht="15.6" customHeight="1" x14ac:dyDescent="0.25">
      <c r="B605" s="10" t="s">
        <v>426</v>
      </c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4"/>
      <c r="R605" s="13"/>
    </row>
    <row r="606" spans="2:18" ht="15.6" customHeight="1" x14ac:dyDescent="0.25">
      <c r="B606" s="381" t="s">
        <v>362</v>
      </c>
      <c r="E606" s="11">
        <v>1</v>
      </c>
      <c r="F606" s="10" t="s">
        <v>16</v>
      </c>
      <c r="G606" s="13">
        <f>G592</f>
        <v>1249257</v>
      </c>
      <c r="H606" s="13" t="s">
        <v>13</v>
      </c>
      <c r="I606" s="13" t="s">
        <v>8</v>
      </c>
      <c r="J606" s="13">
        <f>G606*E606</f>
        <v>1249257</v>
      </c>
      <c r="K606" s="13"/>
      <c r="L606" s="13"/>
      <c r="M606" s="13"/>
      <c r="N606" s="13"/>
      <c r="O606" s="13"/>
      <c r="P606" s="13"/>
      <c r="Q606" s="14"/>
      <c r="R606" s="13"/>
    </row>
    <row r="607" spans="2:18" ht="15.6" customHeight="1" x14ac:dyDescent="0.25">
      <c r="B607" s="10" t="s">
        <v>360</v>
      </c>
      <c r="E607" s="11">
        <v>115</v>
      </c>
      <c r="F607" s="10" t="s">
        <v>17</v>
      </c>
      <c r="G607" s="13">
        <f>G593</f>
        <v>22739</v>
      </c>
      <c r="H607" s="13" t="s">
        <v>13</v>
      </c>
      <c r="I607" s="13" t="s">
        <v>8</v>
      </c>
      <c r="J607" s="13">
        <f>G607*E607</f>
        <v>2614985</v>
      </c>
      <c r="K607" s="13"/>
      <c r="L607" s="13"/>
      <c r="M607" s="13"/>
      <c r="N607" s="13"/>
      <c r="O607" s="13"/>
      <c r="P607" s="13"/>
      <c r="Q607" s="14"/>
      <c r="R607" s="13"/>
    </row>
    <row r="608" spans="2:18" ht="15.6" customHeight="1" x14ac:dyDescent="0.25">
      <c r="B608" s="10" t="s">
        <v>363</v>
      </c>
      <c r="E608" s="11">
        <v>1</v>
      </c>
      <c r="F608" s="10" t="s">
        <v>49</v>
      </c>
      <c r="G608" s="13">
        <f>P525</f>
        <v>1996227</v>
      </c>
      <c r="H608" s="13" t="s">
        <v>13</v>
      </c>
      <c r="I608" s="13" t="s">
        <v>8</v>
      </c>
      <c r="J608" s="13">
        <f>G608*E608</f>
        <v>1996227</v>
      </c>
      <c r="K608" s="13"/>
      <c r="L608" s="13"/>
      <c r="M608" s="13"/>
      <c r="N608" s="13"/>
      <c r="O608" s="13"/>
      <c r="P608" s="13"/>
      <c r="Q608" s="14"/>
      <c r="R608" s="13"/>
    </row>
    <row r="609" spans="2:18" ht="15.6" customHeight="1" x14ac:dyDescent="0.25">
      <c r="B609" s="10" t="s">
        <v>28</v>
      </c>
      <c r="E609" s="11">
        <v>6.6669999999999998</v>
      </c>
      <c r="F609" s="10" t="s">
        <v>23</v>
      </c>
      <c r="G609" s="13">
        <f>G594</f>
        <v>266704</v>
      </c>
      <c r="H609" s="13" t="s">
        <v>13</v>
      </c>
      <c r="I609" s="13" t="s">
        <v>8</v>
      </c>
      <c r="J609" s="13">
        <f>G609*E609</f>
        <v>1778115.568</v>
      </c>
      <c r="K609" s="13"/>
      <c r="L609" s="13"/>
      <c r="M609" s="13"/>
      <c r="N609" s="13"/>
      <c r="O609" s="13"/>
      <c r="P609" s="13"/>
      <c r="Q609" s="14"/>
      <c r="R609" s="13"/>
    </row>
    <row r="610" spans="2:18" ht="15.6" customHeight="1" x14ac:dyDescent="0.25">
      <c r="B610" s="10" t="s">
        <v>361</v>
      </c>
      <c r="E610" s="11">
        <v>1</v>
      </c>
      <c r="F610" s="10" t="s">
        <v>33</v>
      </c>
      <c r="G610" s="13">
        <f>G595</f>
        <v>438400</v>
      </c>
      <c r="H610" s="13" t="s">
        <v>13</v>
      </c>
      <c r="I610" s="13" t="s">
        <v>8</v>
      </c>
      <c r="J610" s="13">
        <f>G610*E610</f>
        <v>438400</v>
      </c>
      <c r="K610" s="13"/>
      <c r="L610" s="13"/>
      <c r="M610" s="13"/>
      <c r="N610" s="13"/>
      <c r="O610" s="13"/>
      <c r="P610" s="13"/>
      <c r="Q610" s="14"/>
      <c r="R610" s="13"/>
    </row>
    <row r="611" spans="2:18" ht="15.6" customHeight="1" x14ac:dyDescent="0.25">
      <c r="G611" s="13" t="s">
        <v>228</v>
      </c>
      <c r="H611" s="13" t="s">
        <v>13</v>
      </c>
      <c r="I611" s="13" t="s">
        <v>8</v>
      </c>
      <c r="J611" s="16">
        <f>SUM(J606:J610)</f>
        <v>8076984.568</v>
      </c>
      <c r="K611" s="13"/>
      <c r="L611" s="13"/>
      <c r="M611" s="13"/>
      <c r="N611" s="13"/>
      <c r="O611" s="13"/>
      <c r="P611" s="13"/>
      <c r="Q611" s="14"/>
      <c r="R611" s="13"/>
    </row>
    <row r="612" spans="2:18" ht="15.6" customHeight="1" x14ac:dyDescent="0.25">
      <c r="G612" s="13"/>
      <c r="H612" s="13"/>
      <c r="I612" s="13"/>
      <c r="J612" s="16"/>
      <c r="K612" s="13"/>
      <c r="L612" s="13"/>
      <c r="M612" s="13"/>
      <c r="N612" s="13"/>
      <c r="O612" s="13"/>
      <c r="P612" s="13"/>
      <c r="Q612" s="14"/>
      <c r="R612" s="13"/>
    </row>
    <row r="613" spans="2:18" ht="15.6" customHeight="1" x14ac:dyDescent="0.25">
      <c r="B613" s="10" t="s">
        <v>427</v>
      </c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4"/>
      <c r="R613" s="13"/>
    </row>
    <row r="614" spans="2:18" ht="15.6" customHeight="1" x14ac:dyDescent="0.25">
      <c r="B614" s="10">
        <v>218</v>
      </c>
      <c r="C614" s="10" t="s">
        <v>17</v>
      </c>
      <c r="D614" s="10" t="s">
        <v>45</v>
      </c>
      <c r="E614" s="10" t="s">
        <v>15</v>
      </c>
      <c r="F614" s="10" t="s">
        <v>8</v>
      </c>
      <c r="G614" s="13">
        <f>'Unit Price '!E9</f>
        <v>1918</v>
      </c>
      <c r="K614" s="13" t="s">
        <v>9</v>
      </c>
      <c r="L614" s="13" t="s">
        <v>8</v>
      </c>
      <c r="M614" s="13">
        <f>SUM(G614*B614)</f>
        <v>418124</v>
      </c>
      <c r="N614" s="13"/>
      <c r="O614" s="13"/>
      <c r="P614" s="13"/>
      <c r="Q614" s="14"/>
      <c r="R614" s="13"/>
    </row>
    <row r="615" spans="2:18" ht="15.6" customHeight="1" x14ac:dyDescent="0.25">
      <c r="B615" s="10">
        <v>0.52</v>
      </c>
      <c r="C615" s="10" t="s">
        <v>23</v>
      </c>
      <c r="D615" s="10" t="s">
        <v>29</v>
      </c>
      <c r="E615" s="10" t="s">
        <v>15</v>
      </c>
      <c r="F615" s="10" t="s">
        <v>8</v>
      </c>
      <c r="G615" s="13">
        <f>+'Unit Price '!E12</f>
        <v>119875</v>
      </c>
      <c r="K615" s="13" t="s">
        <v>9</v>
      </c>
      <c r="L615" s="13" t="s">
        <v>8</v>
      </c>
      <c r="M615" s="13">
        <f>SUM(G615*B615)</f>
        <v>62335</v>
      </c>
      <c r="N615" s="13"/>
      <c r="O615" s="13"/>
      <c r="P615" s="13"/>
      <c r="Q615" s="14"/>
      <c r="R615" s="13"/>
    </row>
    <row r="616" spans="2:18" ht="15.6" customHeight="1" x14ac:dyDescent="0.25">
      <c r="B616" s="10">
        <v>0.87</v>
      </c>
      <c r="C616" s="10" t="s">
        <v>16</v>
      </c>
      <c r="D616" s="10" t="s">
        <v>30</v>
      </c>
      <c r="E616" s="10" t="s">
        <v>15</v>
      </c>
      <c r="F616" s="10" t="s">
        <v>8</v>
      </c>
      <c r="G616" s="13">
        <f>+'Unit Price '!E14</f>
        <v>411000</v>
      </c>
      <c r="K616" s="13" t="s">
        <v>9</v>
      </c>
      <c r="L616" s="13" t="s">
        <v>8</v>
      </c>
      <c r="M616" s="13">
        <f>SUM(G616*B616)</f>
        <v>357570</v>
      </c>
      <c r="N616" s="13"/>
      <c r="O616" s="13"/>
      <c r="P616" s="13"/>
      <c r="Q616" s="14"/>
      <c r="R616" s="13"/>
    </row>
    <row r="617" spans="2:18" ht="15.6" customHeight="1" x14ac:dyDescent="0.25">
      <c r="B617" s="10">
        <v>1.65</v>
      </c>
      <c r="C617" s="10" t="s">
        <v>230</v>
      </c>
      <c r="E617" s="10" t="s">
        <v>15</v>
      </c>
      <c r="F617" s="10" t="s">
        <v>8</v>
      </c>
      <c r="G617" s="13">
        <f>+'Unit Price '!E120</f>
        <v>109600</v>
      </c>
      <c r="H617" s="13" t="s">
        <v>13</v>
      </c>
      <c r="I617" s="13" t="s">
        <v>8</v>
      </c>
      <c r="J617" s="13">
        <f>SUM(G617*B617)</f>
        <v>180840</v>
      </c>
      <c r="K617" s="13"/>
      <c r="L617" s="13"/>
      <c r="M617" s="13"/>
      <c r="N617" s="13"/>
      <c r="O617" s="13"/>
      <c r="P617" s="13"/>
      <c r="Q617" s="14"/>
      <c r="R617" s="13"/>
    </row>
    <row r="618" spans="2:18" ht="15.6" customHeight="1" x14ac:dyDescent="0.25">
      <c r="B618" s="10">
        <v>0.08</v>
      </c>
      <c r="C618" s="381" t="s">
        <v>261</v>
      </c>
      <c r="E618" s="10" t="s">
        <v>15</v>
      </c>
      <c r="F618" s="10" t="s">
        <v>8</v>
      </c>
      <c r="G618" s="13">
        <f>+'Unit Price '!E109</f>
        <v>178100</v>
      </c>
      <c r="H618" s="13" t="s">
        <v>13</v>
      </c>
      <c r="I618" s="13" t="s">
        <v>8</v>
      </c>
      <c r="J618" s="13">
        <f>SUM(G618*B618)</f>
        <v>14248</v>
      </c>
      <c r="K618" s="13"/>
      <c r="L618" s="13"/>
      <c r="M618" s="13"/>
      <c r="N618" s="13"/>
      <c r="O618" s="13"/>
      <c r="P618" s="13"/>
      <c r="Q618" s="14"/>
      <c r="R618" s="13"/>
    </row>
    <row r="619" spans="2:18" ht="15.6" customHeight="1" x14ac:dyDescent="0.25">
      <c r="B619" s="10">
        <v>0.25</v>
      </c>
      <c r="C619" s="29" t="s">
        <v>296</v>
      </c>
      <c r="E619" s="10" t="s">
        <v>15</v>
      </c>
      <c r="F619" s="10" t="s">
        <v>8</v>
      </c>
      <c r="G619" s="13">
        <f>+'Unit Price '!E113</f>
        <v>164400</v>
      </c>
      <c r="H619" s="13" t="s">
        <v>13</v>
      </c>
      <c r="I619" s="13" t="s">
        <v>8</v>
      </c>
      <c r="J619" s="13">
        <f>SUM(G619*B619)</f>
        <v>41100</v>
      </c>
      <c r="K619" s="13"/>
      <c r="L619" s="13"/>
      <c r="M619" s="13"/>
      <c r="N619" s="13"/>
      <c r="O619" s="13"/>
      <c r="P619" s="13" t="s">
        <v>11</v>
      </c>
      <c r="Q619" s="14"/>
      <c r="R619" s="13"/>
    </row>
    <row r="620" spans="2:18" ht="15.6" customHeight="1" x14ac:dyDescent="0.25">
      <c r="B620" s="10">
        <v>2.5000000000000001E-2</v>
      </c>
      <c r="C620" s="29" t="s">
        <v>301</v>
      </c>
      <c r="E620" s="10" t="s">
        <v>15</v>
      </c>
      <c r="F620" s="10" t="s">
        <v>8</v>
      </c>
      <c r="G620" s="13">
        <f>+'Unit Price '!E112</f>
        <v>178100</v>
      </c>
      <c r="H620" s="13" t="s">
        <v>13</v>
      </c>
      <c r="I620" s="13" t="s">
        <v>8</v>
      </c>
      <c r="J620" s="13">
        <f>SUM(G620*B620)</f>
        <v>4452.5</v>
      </c>
      <c r="K620" s="13"/>
      <c r="L620" s="13"/>
      <c r="M620" s="13"/>
      <c r="N620" s="13"/>
      <c r="O620" s="13"/>
      <c r="P620" s="13"/>
      <c r="Q620" s="14" t="s">
        <v>9</v>
      </c>
      <c r="R620" s="13"/>
    </row>
    <row r="621" spans="2:18" ht="15.6" customHeight="1" x14ac:dyDescent="0.25">
      <c r="G621" s="13" t="s">
        <v>228</v>
      </c>
      <c r="H621" s="13" t="s">
        <v>13</v>
      </c>
      <c r="I621" s="13" t="s">
        <v>8</v>
      </c>
      <c r="J621" s="13">
        <f>SUM(J614:J620)</f>
        <v>240640.5</v>
      </c>
      <c r="K621" s="13" t="s">
        <v>9</v>
      </c>
      <c r="L621" s="13" t="s">
        <v>8</v>
      </c>
      <c r="M621" s="13">
        <f>SUM(M614:M620)</f>
        <v>838029</v>
      </c>
      <c r="N621" s="13" t="s">
        <v>13</v>
      </c>
      <c r="O621" s="13" t="s">
        <v>8</v>
      </c>
      <c r="P621" s="13">
        <f>SUM(M621+J621)</f>
        <v>1078669.5</v>
      </c>
      <c r="Q621" s="14" t="s">
        <v>26</v>
      </c>
      <c r="R621" s="13"/>
    </row>
    <row r="622" spans="2:18" ht="15.6" customHeight="1" x14ac:dyDescent="0.25">
      <c r="G622" s="13" t="s">
        <v>228</v>
      </c>
      <c r="H622" s="13"/>
      <c r="I622" s="13"/>
      <c r="J622" s="13"/>
      <c r="K622" s="13"/>
      <c r="L622" s="13"/>
      <c r="M622" s="13"/>
      <c r="N622" s="13" t="s">
        <v>13</v>
      </c>
      <c r="O622" s="13" t="s">
        <v>8</v>
      </c>
      <c r="P622" s="13">
        <f>SUM(P621:P621)</f>
        <v>1078669.5</v>
      </c>
      <c r="Q622" s="14"/>
      <c r="R622" s="13"/>
    </row>
    <row r="623" spans="2:18" ht="15.6" customHeight="1" x14ac:dyDescent="0.25">
      <c r="G623" s="13" t="s">
        <v>205</v>
      </c>
      <c r="H623" s="13"/>
      <c r="I623" s="13"/>
      <c r="J623" s="13"/>
      <c r="K623" s="13"/>
      <c r="L623" s="13"/>
      <c r="M623" s="13"/>
      <c r="N623" s="13" t="s">
        <v>13</v>
      </c>
      <c r="O623" s="13" t="s">
        <v>8</v>
      </c>
      <c r="P623" s="16">
        <f>INT(P622/1)*1</f>
        <v>1078669</v>
      </c>
      <c r="Q623" s="14"/>
      <c r="R623" s="13"/>
    </row>
    <row r="624" spans="2:18" ht="15.6" customHeight="1" x14ac:dyDescent="0.25"/>
    <row r="625" ht="15.6" customHeight="1" x14ac:dyDescent="0.25"/>
    <row r="626" ht="15.6" customHeight="1" x14ac:dyDescent="0.25"/>
    <row r="627" ht="15.6" customHeight="1" x14ac:dyDescent="0.25"/>
    <row r="628" ht="15.6" customHeight="1" x14ac:dyDescent="0.25"/>
    <row r="629" ht="15.6" customHeight="1" x14ac:dyDescent="0.25"/>
    <row r="630" ht="15.6" customHeight="1" x14ac:dyDescent="0.25"/>
    <row r="631" ht="15.6" customHeight="1" x14ac:dyDescent="0.25"/>
    <row r="632" ht="15.6" customHeight="1" x14ac:dyDescent="0.25"/>
    <row r="633" ht="15.6" customHeight="1" x14ac:dyDescent="0.25"/>
    <row r="634" ht="15.6" customHeight="1" x14ac:dyDescent="0.25"/>
    <row r="635" ht="15.6" customHeight="1" x14ac:dyDescent="0.25"/>
    <row r="636" ht="15.6" customHeight="1" x14ac:dyDescent="0.25"/>
    <row r="637" ht="15.6" customHeight="1" x14ac:dyDescent="0.25"/>
    <row r="638" ht="15.6" customHeight="1" x14ac:dyDescent="0.25"/>
    <row r="639" ht="15.6" customHeight="1" x14ac:dyDescent="0.25"/>
    <row r="640" ht="15.6" customHeight="1" x14ac:dyDescent="0.25"/>
    <row r="641" ht="15.6" customHeight="1" x14ac:dyDescent="0.25"/>
    <row r="642" ht="15.6" customHeight="1" x14ac:dyDescent="0.25"/>
    <row r="643" ht="15.6" customHeight="1" x14ac:dyDescent="0.25"/>
    <row r="644" ht="15.6" customHeight="1" x14ac:dyDescent="0.25"/>
    <row r="645" ht="15.6" customHeight="1" x14ac:dyDescent="0.25"/>
    <row r="646" ht="15.6" customHeight="1" x14ac:dyDescent="0.25"/>
    <row r="647" ht="15.6" customHeight="1" x14ac:dyDescent="0.25"/>
    <row r="648" ht="15.6" customHeight="1" x14ac:dyDescent="0.25"/>
    <row r="649" ht="15.6" customHeight="1" x14ac:dyDescent="0.25"/>
    <row r="650" ht="15.6" customHeight="1" x14ac:dyDescent="0.25"/>
    <row r="651" ht="15.6" customHeight="1" x14ac:dyDescent="0.25"/>
    <row r="652" ht="15.6" customHeight="1" x14ac:dyDescent="0.25"/>
    <row r="653" ht="15.6" customHeight="1" x14ac:dyDescent="0.25"/>
    <row r="654" ht="15.6" customHeight="1" x14ac:dyDescent="0.25"/>
    <row r="655" ht="15.6" customHeight="1" x14ac:dyDescent="0.25"/>
    <row r="656" ht="15.6" customHeight="1" x14ac:dyDescent="0.25"/>
    <row r="657" ht="15.6" customHeight="1" x14ac:dyDescent="0.25"/>
    <row r="658" ht="15.6" customHeight="1" x14ac:dyDescent="0.25"/>
    <row r="659" ht="15.6" customHeight="1" x14ac:dyDescent="0.25"/>
    <row r="660" ht="15.6" customHeight="1" x14ac:dyDescent="0.25"/>
    <row r="661" ht="15.6" customHeight="1" x14ac:dyDescent="0.25"/>
    <row r="662" ht="15.6" customHeight="1" x14ac:dyDescent="0.25"/>
    <row r="663" ht="15.6" customHeight="1" x14ac:dyDescent="0.25"/>
    <row r="664" ht="15.6" customHeight="1" x14ac:dyDescent="0.25"/>
    <row r="665" ht="15.6" customHeight="1" x14ac:dyDescent="0.25"/>
    <row r="666" ht="15.6" customHeight="1" x14ac:dyDescent="0.25"/>
    <row r="667" ht="15.6" customHeight="1" x14ac:dyDescent="0.25"/>
    <row r="668" ht="15.6" customHeight="1" x14ac:dyDescent="0.25"/>
    <row r="669" ht="15.6" customHeight="1" x14ac:dyDescent="0.25"/>
    <row r="670" ht="15.6" customHeight="1" x14ac:dyDescent="0.25"/>
    <row r="671" ht="15.6" customHeight="1" x14ac:dyDescent="0.25"/>
    <row r="672" ht="15.6" customHeight="1" x14ac:dyDescent="0.25"/>
    <row r="673" ht="15.6" customHeight="1" x14ac:dyDescent="0.25"/>
    <row r="674" ht="15.6" customHeight="1" x14ac:dyDescent="0.25"/>
    <row r="675" ht="15.6" customHeight="1" x14ac:dyDescent="0.25"/>
    <row r="676" ht="15.6" customHeight="1" x14ac:dyDescent="0.25"/>
    <row r="677" ht="15.6" customHeight="1" x14ac:dyDescent="0.25"/>
    <row r="678" ht="15.6" customHeight="1" x14ac:dyDescent="0.25"/>
    <row r="679" ht="15.6" customHeight="1" x14ac:dyDescent="0.25"/>
    <row r="680" ht="15.6" customHeight="1" x14ac:dyDescent="0.25"/>
    <row r="681" ht="15.6" customHeight="1" x14ac:dyDescent="0.25"/>
    <row r="682" ht="15.6" customHeight="1" x14ac:dyDescent="0.25"/>
    <row r="683" ht="15.6" customHeight="1" x14ac:dyDescent="0.25"/>
    <row r="684" ht="15.6" customHeight="1" x14ac:dyDescent="0.25"/>
    <row r="685" ht="15.6" customHeight="1" x14ac:dyDescent="0.25"/>
    <row r="686" ht="15.6" customHeight="1" x14ac:dyDescent="0.25"/>
    <row r="687" ht="15.6" customHeight="1" x14ac:dyDescent="0.25"/>
    <row r="688" ht="15.6" customHeight="1" x14ac:dyDescent="0.25"/>
    <row r="689" ht="15.6" customHeight="1" x14ac:dyDescent="0.25"/>
    <row r="690" ht="15.6" customHeight="1" x14ac:dyDescent="0.25"/>
    <row r="691" ht="15.6" customHeight="1" x14ac:dyDescent="0.25"/>
    <row r="692" ht="15.6" customHeight="1" x14ac:dyDescent="0.25"/>
    <row r="693" ht="15.6" customHeight="1" x14ac:dyDescent="0.25"/>
    <row r="694" ht="15.6" customHeight="1" x14ac:dyDescent="0.25"/>
    <row r="695" ht="15.6" customHeight="1" x14ac:dyDescent="0.25"/>
    <row r="696" ht="15.6" customHeight="1" x14ac:dyDescent="0.25"/>
    <row r="697" ht="15.6" customHeight="1" x14ac:dyDescent="0.25"/>
    <row r="698" ht="15.6" customHeight="1" x14ac:dyDescent="0.25"/>
    <row r="699" ht="15.6" customHeight="1" x14ac:dyDescent="0.25"/>
    <row r="700" ht="15.6" customHeight="1" x14ac:dyDescent="0.25"/>
    <row r="701" ht="15.6" customHeight="1" x14ac:dyDescent="0.25"/>
    <row r="702" ht="15.6" customHeight="1" x14ac:dyDescent="0.25"/>
    <row r="703" ht="15.6" customHeight="1" x14ac:dyDescent="0.25"/>
    <row r="704" ht="15.6" customHeight="1" x14ac:dyDescent="0.25"/>
    <row r="705" ht="15.6" customHeight="1" x14ac:dyDescent="0.25"/>
    <row r="706" ht="15.6" customHeight="1" x14ac:dyDescent="0.25"/>
    <row r="707" ht="15.6" customHeight="1" x14ac:dyDescent="0.25"/>
    <row r="708" ht="15.6" customHeight="1" x14ac:dyDescent="0.25"/>
    <row r="709" ht="15.6" customHeight="1" x14ac:dyDescent="0.25"/>
    <row r="710" ht="15.6" customHeight="1" x14ac:dyDescent="0.25"/>
    <row r="711" ht="15.6" customHeight="1" x14ac:dyDescent="0.25"/>
    <row r="712" ht="15.6" customHeight="1" x14ac:dyDescent="0.25"/>
    <row r="713" ht="15.6" customHeight="1" x14ac:dyDescent="0.25"/>
    <row r="714" ht="15.6" customHeight="1" x14ac:dyDescent="0.25"/>
    <row r="715" ht="15.6" customHeight="1" x14ac:dyDescent="0.25"/>
    <row r="716" ht="15.6" customHeight="1" x14ac:dyDescent="0.25"/>
    <row r="717" ht="15.6" customHeight="1" x14ac:dyDescent="0.25"/>
    <row r="718" ht="15.6" customHeight="1" x14ac:dyDescent="0.25"/>
    <row r="719" ht="15.6" customHeight="1" x14ac:dyDescent="0.25"/>
    <row r="720" ht="15.6" customHeight="1" x14ac:dyDescent="0.25"/>
    <row r="721" ht="15.6" customHeight="1" x14ac:dyDescent="0.25"/>
    <row r="722" ht="15.6" customHeight="1" x14ac:dyDescent="0.25"/>
    <row r="723" ht="15.6" customHeight="1" x14ac:dyDescent="0.25"/>
    <row r="724" ht="15.6" customHeight="1" x14ac:dyDescent="0.25"/>
    <row r="725" ht="15.6" customHeight="1" x14ac:dyDescent="0.25"/>
    <row r="726" ht="15.6" customHeight="1" x14ac:dyDescent="0.25"/>
    <row r="727" ht="15.6" customHeight="1" x14ac:dyDescent="0.25"/>
    <row r="728" ht="15.6" customHeight="1" x14ac:dyDescent="0.25"/>
    <row r="729" ht="15.6" customHeight="1" x14ac:dyDescent="0.25"/>
    <row r="730" ht="15.6" customHeight="1" x14ac:dyDescent="0.25"/>
    <row r="731" ht="15.6" customHeight="1" x14ac:dyDescent="0.25"/>
    <row r="732" ht="15.6" customHeight="1" x14ac:dyDescent="0.25"/>
    <row r="733" ht="15.6" customHeight="1" x14ac:dyDescent="0.25"/>
    <row r="734" ht="15.6" customHeight="1" x14ac:dyDescent="0.25"/>
    <row r="735" ht="15.6" customHeight="1" x14ac:dyDescent="0.25"/>
    <row r="736" ht="15.6" customHeight="1" x14ac:dyDescent="0.25"/>
    <row r="737" ht="15.6" customHeight="1" x14ac:dyDescent="0.25"/>
    <row r="738" ht="15.6" customHeight="1" x14ac:dyDescent="0.25"/>
    <row r="739" ht="15.6" customHeight="1" x14ac:dyDescent="0.25"/>
    <row r="740" ht="15.6" customHeight="1" x14ac:dyDescent="0.25"/>
    <row r="741" ht="15.6" customHeight="1" x14ac:dyDescent="0.25"/>
    <row r="742" ht="15.6" customHeight="1" x14ac:dyDescent="0.25"/>
    <row r="743" ht="15.6" customHeight="1" x14ac:dyDescent="0.25"/>
    <row r="744" ht="15.6" customHeight="1" x14ac:dyDescent="0.25"/>
    <row r="745" ht="15.6" customHeight="1" x14ac:dyDescent="0.25"/>
    <row r="746" ht="15.6" customHeight="1" x14ac:dyDescent="0.25"/>
    <row r="747" ht="15.6" customHeight="1" x14ac:dyDescent="0.25"/>
    <row r="748" ht="15.6" customHeight="1" x14ac:dyDescent="0.25"/>
    <row r="749" ht="15.6" customHeight="1" x14ac:dyDescent="0.25"/>
    <row r="750" ht="15.6" customHeight="1" x14ac:dyDescent="0.25"/>
    <row r="751" ht="15.6" customHeight="1" x14ac:dyDescent="0.25"/>
    <row r="752" ht="15.6" customHeight="1" x14ac:dyDescent="0.25"/>
    <row r="753" ht="15.6" customHeight="1" x14ac:dyDescent="0.25"/>
    <row r="754" ht="15.6" customHeight="1" x14ac:dyDescent="0.25"/>
    <row r="755" ht="15.6" customHeight="1" x14ac:dyDescent="0.25"/>
    <row r="756" ht="15.6" customHeight="1" x14ac:dyDescent="0.25"/>
    <row r="757" ht="15.6" customHeight="1" x14ac:dyDescent="0.25"/>
    <row r="758" ht="15.6" customHeight="1" x14ac:dyDescent="0.25"/>
    <row r="759" ht="15.6" customHeight="1" x14ac:dyDescent="0.25"/>
    <row r="760" ht="15.6" customHeight="1" x14ac:dyDescent="0.25"/>
    <row r="761" ht="15.6" customHeight="1" x14ac:dyDescent="0.25"/>
    <row r="762" ht="15.6" customHeight="1" x14ac:dyDescent="0.25"/>
    <row r="763" ht="15.6" customHeight="1" x14ac:dyDescent="0.25"/>
    <row r="764" ht="15.6" customHeight="1" x14ac:dyDescent="0.25"/>
    <row r="765" ht="15.6" customHeight="1" x14ac:dyDescent="0.25"/>
    <row r="766" ht="15.6" customHeight="1" x14ac:dyDescent="0.25"/>
    <row r="767" ht="15.6" customHeight="1" x14ac:dyDescent="0.25"/>
    <row r="768" ht="15.6" customHeight="1" x14ac:dyDescent="0.25"/>
    <row r="769" ht="15.6" customHeight="1" x14ac:dyDescent="0.25"/>
    <row r="770" ht="15.6" customHeight="1" x14ac:dyDescent="0.25"/>
    <row r="771" ht="15.6" customHeight="1" x14ac:dyDescent="0.25"/>
    <row r="772" ht="15.6" customHeight="1" x14ac:dyDescent="0.25"/>
    <row r="773" ht="15.6" customHeight="1" x14ac:dyDescent="0.25"/>
    <row r="774" ht="15.6" customHeight="1" x14ac:dyDescent="0.25"/>
    <row r="775" ht="15.6" customHeight="1" x14ac:dyDescent="0.25"/>
    <row r="776" ht="15.6" customHeight="1" x14ac:dyDescent="0.25"/>
    <row r="777" ht="15.6" customHeight="1" x14ac:dyDescent="0.25"/>
    <row r="778" ht="15.6" customHeight="1" x14ac:dyDescent="0.25"/>
    <row r="779" ht="15.6" customHeight="1" x14ac:dyDescent="0.25"/>
    <row r="780" ht="15.6" customHeight="1" x14ac:dyDescent="0.25"/>
    <row r="781" ht="15.6" customHeight="1" x14ac:dyDescent="0.25"/>
    <row r="782" ht="15.6" customHeight="1" x14ac:dyDescent="0.25"/>
    <row r="783" ht="15.6" customHeight="1" x14ac:dyDescent="0.25"/>
    <row r="784" ht="15.6" customHeight="1" x14ac:dyDescent="0.25"/>
    <row r="785" ht="15.6" customHeight="1" x14ac:dyDescent="0.25"/>
    <row r="786" ht="15.6" customHeight="1" x14ac:dyDescent="0.25"/>
    <row r="787" ht="15.6" customHeight="1" x14ac:dyDescent="0.25"/>
    <row r="788" ht="15.6" customHeight="1" x14ac:dyDescent="0.25"/>
    <row r="789" ht="15.6" customHeight="1" x14ac:dyDescent="0.25"/>
    <row r="790" ht="15.6" customHeight="1" x14ac:dyDescent="0.25"/>
    <row r="791" ht="15.6" customHeight="1" x14ac:dyDescent="0.25"/>
    <row r="792" ht="15.6" customHeight="1" x14ac:dyDescent="0.25"/>
    <row r="793" ht="15.6" customHeight="1" x14ac:dyDescent="0.25"/>
    <row r="794" ht="15.6" customHeight="1" x14ac:dyDescent="0.25"/>
    <row r="795" ht="15.6" customHeight="1" x14ac:dyDescent="0.25"/>
    <row r="796" ht="15.6" customHeight="1" x14ac:dyDescent="0.25"/>
    <row r="797" ht="15.6" customHeight="1" x14ac:dyDescent="0.25"/>
    <row r="798" ht="15.6" customHeight="1" x14ac:dyDescent="0.25"/>
    <row r="799" ht="15.6" customHeight="1" x14ac:dyDescent="0.25"/>
    <row r="800" ht="15.6" customHeight="1" x14ac:dyDescent="0.25"/>
    <row r="801" ht="15.6" customHeight="1" x14ac:dyDescent="0.25"/>
    <row r="802" ht="15.6" customHeight="1" x14ac:dyDescent="0.25"/>
    <row r="803" ht="15.6" customHeight="1" x14ac:dyDescent="0.25"/>
    <row r="804" ht="15.6" customHeight="1" x14ac:dyDescent="0.25"/>
    <row r="805" ht="15.6" customHeight="1" x14ac:dyDescent="0.25"/>
    <row r="806" ht="15.6" customHeight="1" x14ac:dyDescent="0.25"/>
    <row r="807" ht="15.6" customHeight="1" x14ac:dyDescent="0.25"/>
    <row r="808" ht="15.6" customHeight="1" x14ac:dyDescent="0.25"/>
    <row r="809" ht="15.6" customHeight="1" x14ac:dyDescent="0.25"/>
    <row r="810" ht="15.6" customHeight="1" x14ac:dyDescent="0.25"/>
    <row r="811" ht="15.6" customHeight="1" x14ac:dyDescent="0.25"/>
    <row r="812" ht="15.6" customHeight="1" x14ac:dyDescent="0.25"/>
    <row r="813" ht="15.6" customHeight="1" x14ac:dyDescent="0.25"/>
    <row r="814" ht="15.6" customHeight="1" x14ac:dyDescent="0.25"/>
    <row r="815" ht="15.6" customHeight="1" x14ac:dyDescent="0.25"/>
    <row r="816" ht="15.6" customHeight="1" x14ac:dyDescent="0.25"/>
    <row r="817" ht="15.6" customHeight="1" x14ac:dyDescent="0.25"/>
    <row r="818" ht="15.6" customHeight="1" x14ac:dyDescent="0.25"/>
    <row r="819" ht="15.6" customHeight="1" x14ac:dyDescent="0.25"/>
    <row r="820" ht="15.6" customHeight="1" x14ac:dyDescent="0.25"/>
    <row r="821" ht="15.6" customHeight="1" x14ac:dyDescent="0.25"/>
    <row r="822" ht="15.6" customHeight="1" x14ac:dyDescent="0.25"/>
    <row r="823" ht="15.6" customHeight="1" x14ac:dyDescent="0.25"/>
    <row r="824" ht="15.6" customHeight="1" x14ac:dyDescent="0.25"/>
    <row r="825" ht="15.6" customHeight="1" x14ac:dyDescent="0.25"/>
    <row r="826" ht="15.6" customHeight="1" x14ac:dyDescent="0.25"/>
    <row r="827" ht="15.6" customHeight="1" x14ac:dyDescent="0.25"/>
    <row r="828" ht="15.6" customHeight="1" x14ac:dyDescent="0.25"/>
    <row r="829" ht="15.6" customHeight="1" x14ac:dyDescent="0.25"/>
    <row r="830" ht="15.6" customHeight="1" x14ac:dyDescent="0.25"/>
    <row r="831" ht="15.6" customHeight="1" x14ac:dyDescent="0.25"/>
    <row r="832" ht="15.6" customHeight="1" x14ac:dyDescent="0.25"/>
    <row r="833" ht="15.6" customHeight="1" x14ac:dyDescent="0.25"/>
    <row r="834" ht="15.6" customHeight="1" x14ac:dyDescent="0.25"/>
    <row r="835" ht="15.6" customHeight="1" x14ac:dyDescent="0.25"/>
    <row r="836" ht="15.6" customHeight="1" x14ac:dyDescent="0.25"/>
    <row r="837" ht="15.6" customHeight="1" x14ac:dyDescent="0.25"/>
    <row r="838" ht="15.6" customHeight="1" x14ac:dyDescent="0.25"/>
    <row r="839" ht="15.6" customHeight="1" x14ac:dyDescent="0.25"/>
    <row r="840" ht="15.6" customHeight="1" x14ac:dyDescent="0.25"/>
    <row r="841" ht="15.6" customHeight="1" x14ac:dyDescent="0.25"/>
    <row r="842" ht="15.6" customHeight="1" x14ac:dyDescent="0.25"/>
    <row r="843" ht="15.6" customHeight="1" x14ac:dyDescent="0.25"/>
    <row r="844" ht="15.6" customHeight="1" x14ac:dyDescent="0.25"/>
    <row r="845" ht="15.6" customHeight="1" x14ac:dyDescent="0.25"/>
    <row r="846" ht="15.6" customHeight="1" x14ac:dyDescent="0.25"/>
    <row r="847" ht="15.6" customHeight="1" x14ac:dyDescent="0.25"/>
    <row r="848" ht="15.6" customHeight="1" x14ac:dyDescent="0.25"/>
    <row r="849" ht="15.6" customHeight="1" x14ac:dyDescent="0.25"/>
    <row r="850" ht="15.6" customHeight="1" x14ac:dyDescent="0.25"/>
    <row r="851" ht="15.6" customHeight="1" x14ac:dyDescent="0.25"/>
    <row r="852" ht="15.6" customHeight="1" x14ac:dyDescent="0.25"/>
    <row r="853" ht="15.6" customHeight="1" x14ac:dyDescent="0.25"/>
    <row r="854" ht="15.6" customHeight="1" x14ac:dyDescent="0.25"/>
    <row r="855" ht="15.6" customHeight="1" x14ac:dyDescent="0.25"/>
    <row r="856" ht="15.6" customHeight="1" x14ac:dyDescent="0.25"/>
    <row r="857" ht="15.6" customHeight="1" x14ac:dyDescent="0.25"/>
    <row r="858" ht="15.6" customHeight="1" x14ac:dyDescent="0.25"/>
    <row r="859" ht="15.6" customHeight="1" x14ac:dyDescent="0.25"/>
    <row r="860" ht="15.6" customHeight="1" x14ac:dyDescent="0.25"/>
    <row r="861" ht="15.6" customHeight="1" x14ac:dyDescent="0.25"/>
    <row r="862" ht="15.6" customHeight="1" x14ac:dyDescent="0.25"/>
    <row r="863" ht="15.6" customHeight="1" x14ac:dyDescent="0.25"/>
    <row r="864" ht="15.6" customHeight="1" x14ac:dyDescent="0.25"/>
    <row r="865" ht="15.6" customHeight="1" x14ac:dyDescent="0.25"/>
    <row r="866" ht="15.6" customHeight="1" x14ac:dyDescent="0.25"/>
    <row r="867" ht="15.6" customHeight="1" x14ac:dyDescent="0.25"/>
    <row r="868" ht="15.6" customHeight="1" x14ac:dyDescent="0.25"/>
    <row r="869" ht="15.6" customHeight="1" x14ac:dyDescent="0.25"/>
    <row r="870" ht="15.6" customHeight="1" x14ac:dyDescent="0.25"/>
    <row r="871" ht="15.6" customHeight="1" x14ac:dyDescent="0.25"/>
    <row r="872" ht="15.6" customHeight="1" x14ac:dyDescent="0.25"/>
    <row r="873" ht="15.6" customHeight="1" x14ac:dyDescent="0.25"/>
    <row r="874" ht="15.6" customHeight="1" x14ac:dyDescent="0.25"/>
    <row r="875" ht="15.6" customHeight="1" x14ac:dyDescent="0.25"/>
    <row r="876" ht="15.6" customHeight="1" x14ac:dyDescent="0.25"/>
    <row r="877" ht="15.6" customHeight="1" x14ac:dyDescent="0.25"/>
    <row r="878" ht="15.6" customHeight="1" x14ac:dyDescent="0.25"/>
    <row r="879" ht="15.6" customHeight="1" x14ac:dyDescent="0.25"/>
    <row r="880" ht="15.6" customHeight="1" x14ac:dyDescent="0.25"/>
    <row r="881" ht="15.6" customHeight="1" x14ac:dyDescent="0.25"/>
    <row r="882" ht="15.6" customHeight="1" x14ac:dyDescent="0.25"/>
    <row r="883" ht="15.6" customHeight="1" x14ac:dyDescent="0.25"/>
    <row r="884" ht="15.6" customHeight="1" x14ac:dyDescent="0.25"/>
    <row r="885" ht="15.6" customHeight="1" x14ac:dyDescent="0.25"/>
    <row r="886" ht="15.6" customHeight="1" x14ac:dyDescent="0.25"/>
    <row r="887" ht="15.6" customHeight="1" x14ac:dyDescent="0.25"/>
    <row r="888" ht="15.6" customHeight="1" x14ac:dyDescent="0.25"/>
    <row r="889" ht="15.6" customHeight="1" x14ac:dyDescent="0.25"/>
    <row r="890" ht="15.6" customHeight="1" x14ac:dyDescent="0.25"/>
    <row r="891" ht="15.6" customHeight="1" x14ac:dyDescent="0.25"/>
    <row r="892" ht="15.6" customHeight="1" x14ac:dyDescent="0.25"/>
    <row r="893" ht="15.6" customHeight="1" x14ac:dyDescent="0.25"/>
    <row r="894" ht="15.6" customHeight="1" x14ac:dyDescent="0.25"/>
    <row r="895" ht="15.6" customHeight="1" x14ac:dyDescent="0.25"/>
    <row r="896" ht="15.6" customHeight="1" x14ac:dyDescent="0.25"/>
    <row r="897" ht="15.6" customHeight="1" x14ac:dyDescent="0.25"/>
    <row r="898" ht="15.6" customHeight="1" x14ac:dyDescent="0.25"/>
    <row r="899" ht="15.6" customHeight="1" x14ac:dyDescent="0.25"/>
    <row r="900" ht="15.6" customHeight="1" x14ac:dyDescent="0.25"/>
    <row r="901" ht="15.6" customHeight="1" x14ac:dyDescent="0.25"/>
    <row r="902" ht="15.6" customHeight="1" x14ac:dyDescent="0.25"/>
    <row r="903" ht="15.6" customHeight="1" x14ac:dyDescent="0.25"/>
    <row r="904" ht="15.6" customHeight="1" x14ac:dyDescent="0.25"/>
    <row r="905" ht="15.6" customHeight="1" x14ac:dyDescent="0.25"/>
    <row r="906" ht="15.6" customHeight="1" x14ac:dyDescent="0.25"/>
    <row r="907" ht="15.6" customHeight="1" x14ac:dyDescent="0.25"/>
    <row r="908" ht="15.6" customHeight="1" x14ac:dyDescent="0.25"/>
    <row r="909" ht="15.6" customHeight="1" x14ac:dyDescent="0.25"/>
    <row r="910" ht="15.6" customHeight="1" x14ac:dyDescent="0.25"/>
    <row r="911" ht="15.6" customHeight="1" x14ac:dyDescent="0.25"/>
    <row r="912" ht="15.6" customHeight="1" x14ac:dyDescent="0.25"/>
    <row r="913" ht="15.6" customHeight="1" x14ac:dyDescent="0.25"/>
    <row r="914" ht="15.6" customHeight="1" x14ac:dyDescent="0.25"/>
    <row r="915" ht="15.6" customHeight="1" x14ac:dyDescent="0.25"/>
    <row r="916" ht="15.6" customHeight="1" x14ac:dyDescent="0.25"/>
    <row r="917" ht="15.6" customHeight="1" x14ac:dyDescent="0.25"/>
    <row r="918" ht="15.6" customHeight="1" x14ac:dyDescent="0.25"/>
    <row r="919" ht="15.6" customHeight="1" x14ac:dyDescent="0.25"/>
    <row r="920" ht="15.6" customHeight="1" x14ac:dyDescent="0.25"/>
    <row r="921" ht="15.6" customHeight="1" x14ac:dyDescent="0.25"/>
    <row r="922" ht="15.6" customHeight="1" x14ac:dyDescent="0.25"/>
    <row r="923" ht="15.6" customHeight="1" x14ac:dyDescent="0.25"/>
    <row r="924" ht="15.6" customHeight="1" x14ac:dyDescent="0.25"/>
    <row r="925" ht="15.6" customHeight="1" x14ac:dyDescent="0.25"/>
    <row r="926" ht="15.6" customHeight="1" x14ac:dyDescent="0.25"/>
    <row r="927" ht="15.6" customHeight="1" x14ac:dyDescent="0.25"/>
    <row r="928" ht="15.6" customHeight="1" x14ac:dyDescent="0.25"/>
    <row r="929" ht="15.6" customHeight="1" x14ac:dyDescent="0.25"/>
    <row r="930" ht="15.6" customHeight="1" x14ac:dyDescent="0.25"/>
    <row r="931" ht="15.6" customHeight="1" x14ac:dyDescent="0.25"/>
    <row r="932" ht="15.6" customHeight="1" x14ac:dyDescent="0.25"/>
    <row r="933" ht="15.6" customHeight="1" x14ac:dyDescent="0.25"/>
    <row r="934" ht="15.6" customHeight="1" x14ac:dyDescent="0.25"/>
    <row r="935" ht="15.6" customHeight="1" x14ac:dyDescent="0.25"/>
    <row r="936" ht="15.6" customHeight="1" x14ac:dyDescent="0.25"/>
    <row r="937" ht="15.6" customHeight="1" x14ac:dyDescent="0.25"/>
    <row r="938" ht="15.6" customHeight="1" x14ac:dyDescent="0.25"/>
    <row r="939" ht="15.6" customHeight="1" x14ac:dyDescent="0.25"/>
    <row r="940" ht="15.6" customHeight="1" x14ac:dyDescent="0.25"/>
    <row r="941" ht="15.6" customHeight="1" x14ac:dyDescent="0.25"/>
    <row r="942" ht="15.6" customHeight="1" x14ac:dyDescent="0.25"/>
    <row r="943" ht="15.6" customHeight="1" x14ac:dyDescent="0.25"/>
    <row r="944" ht="15.6" customHeight="1" x14ac:dyDescent="0.25"/>
    <row r="945" ht="15.6" customHeight="1" x14ac:dyDescent="0.25"/>
    <row r="946" ht="15.6" customHeight="1" x14ac:dyDescent="0.25"/>
    <row r="947" ht="15.6" customHeight="1" x14ac:dyDescent="0.25"/>
    <row r="948" ht="15.6" customHeight="1" x14ac:dyDescent="0.25"/>
    <row r="949" ht="15.6" customHeight="1" x14ac:dyDescent="0.25"/>
    <row r="950" ht="15.6" customHeight="1" x14ac:dyDescent="0.25"/>
    <row r="951" ht="15.6" customHeight="1" x14ac:dyDescent="0.25"/>
    <row r="952" ht="15.6" customHeight="1" x14ac:dyDescent="0.25"/>
    <row r="953" ht="15.6" customHeight="1" x14ac:dyDescent="0.25"/>
    <row r="954" ht="15.6" customHeight="1" x14ac:dyDescent="0.25"/>
    <row r="955" ht="15.6" customHeight="1" x14ac:dyDescent="0.25"/>
    <row r="956" ht="15.6" customHeight="1" x14ac:dyDescent="0.25"/>
    <row r="957" ht="15.6" customHeight="1" x14ac:dyDescent="0.25"/>
    <row r="958" ht="15.6" customHeight="1" x14ac:dyDescent="0.25"/>
    <row r="959" ht="15.6" customHeight="1" x14ac:dyDescent="0.25"/>
    <row r="960" ht="15.6" customHeight="1" x14ac:dyDescent="0.25"/>
    <row r="961" ht="15.6" customHeight="1" x14ac:dyDescent="0.25"/>
    <row r="962" ht="15.6" customHeight="1" x14ac:dyDescent="0.25"/>
    <row r="963" ht="15.6" customHeight="1" x14ac:dyDescent="0.25"/>
    <row r="964" ht="15.6" customHeight="1" x14ac:dyDescent="0.25"/>
    <row r="965" ht="15.6" customHeight="1" x14ac:dyDescent="0.25"/>
    <row r="966" ht="15.6" customHeight="1" x14ac:dyDescent="0.25"/>
    <row r="967" ht="15.6" customHeight="1" x14ac:dyDescent="0.25"/>
    <row r="968" ht="15.6" customHeight="1" x14ac:dyDescent="0.25"/>
    <row r="969" ht="15.6" customHeight="1" x14ac:dyDescent="0.25"/>
    <row r="970" ht="15.6" customHeight="1" x14ac:dyDescent="0.25"/>
    <row r="971" ht="15.6" customHeight="1" x14ac:dyDescent="0.25"/>
    <row r="972" ht="15.6" customHeight="1" x14ac:dyDescent="0.25"/>
    <row r="973" ht="15.6" customHeight="1" x14ac:dyDescent="0.25"/>
    <row r="974" ht="15.6" customHeight="1" x14ac:dyDescent="0.25"/>
    <row r="975" ht="15.6" customHeight="1" x14ac:dyDescent="0.25"/>
    <row r="976" ht="15.6" customHeight="1" x14ac:dyDescent="0.25"/>
    <row r="977" ht="15.6" customHeight="1" x14ac:dyDescent="0.25"/>
    <row r="978" ht="15.6" customHeight="1" x14ac:dyDescent="0.25"/>
    <row r="979" ht="15.6" customHeight="1" x14ac:dyDescent="0.25"/>
    <row r="980" ht="15.6" customHeight="1" x14ac:dyDescent="0.25"/>
    <row r="981" ht="15.6" customHeight="1" x14ac:dyDescent="0.25"/>
    <row r="982" ht="15.6" customHeight="1" x14ac:dyDescent="0.25"/>
    <row r="983" ht="15.6" customHeight="1" x14ac:dyDescent="0.25"/>
    <row r="984" ht="15.6" customHeight="1" x14ac:dyDescent="0.25"/>
    <row r="985" ht="15.6" customHeight="1" x14ac:dyDescent="0.25"/>
    <row r="986" ht="15.6" customHeight="1" x14ac:dyDescent="0.25"/>
    <row r="987" ht="15.6" customHeight="1" x14ac:dyDescent="0.25"/>
    <row r="988" ht="15.6" customHeight="1" x14ac:dyDescent="0.25"/>
    <row r="989" ht="15.6" customHeight="1" x14ac:dyDescent="0.25"/>
    <row r="990" ht="15.6" customHeight="1" x14ac:dyDescent="0.25"/>
    <row r="991" ht="15.6" customHeight="1" x14ac:dyDescent="0.25"/>
    <row r="992" ht="15.6" customHeight="1" x14ac:dyDescent="0.25"/>
    <row r="993" ht="15.6" customHeight="1" x14ac:dyDescent="0.25"/>
    <row r="994" ht="15.6" customHeight="1" x14ac:dyDescent="0.25"/>
    <row r="995" ht="15.6" customHeight="1" x14ac:dyDescent="0.25"/>
    <row r="996" ht="15.6" customHeight="1" x14ac:dyDescent="0.25"/>
    <row r="997" ht="15.6" customHeight="1" x14ac:dyDescent="0.25"/>
    <row r="998" ht="15.6" customHeight="1" x14ac:dyDescent="0.25"/>
    <row r="999" ht="15.6" customHeight="1" x14ac:dyDescent="0.25"/>
    <row r="1000" ht="15.6" customHeight="1" x14ac:dyDescent="0.25"/>
    <row r="1001" ht="15.6" customHeight="1" x14ac:dyDescent="0.25"/>
    <row r="1002" ht="15.6" customHeight="1" x14ac:dyDescent="0.25"/>
    <row r="1003" ht="15.6" customHeight="1" x14ac:dyDescent="0.25"/>
    <row r="1004" ht="15.6" customHeight="1" x14ac:dyDescent="0.25"/>
    <row r="1005" ht="15.6" customHeight="1" x14ac:dyDescent="0.25"/>
    <row r="1006" ht="15.6" customHeight="1" x14ac:dyDescent="0.25"/>
    <row r="1007" ht="15.6" customHeight="1" x14ac:dyDescent="0.25"/>
    <row r="1008" ht="15.6" customHeight="1" x14ac:dyDescent="0.25"/>
    <row r="1009" ht="15.6" customHeight="1" x14ac:dyDescent="0.25"/>
    <row r="1010" ht="15.6" customHeight="1" x14ac:dyDescent="0.25"/>
    <row r="1011" ht="15.6" customHeight="1" x14ac:dyDescent="0.25"/>
    <row r="1012" ht="15.6" customHeight="1" x14ac:dyDescent="0.25"/>
    <row r="1013" ht="15.6" customHeight="1" x14ac:dyDescent="0.25"/>
    <row r="1014" ht="15.6" customHeight="1" x14ac:dyDescent="0.25"/>
    <row r="1015" ht="15.6" customHeight="1" x14ac:dyDescent="0.25"/>
    <row r="1016" ht="15.6" customHeight="1" x14ac:dyDescent="0.25"/>
    <row r="1017" ht="15.6" customHeight="1" x14ac:dyDescent="0.25"/>
    <row r="1018" ht="15.6" customHeight="1" x14ac:dyDescent="0.25"/>
    <row r="1019" ht="15.6" customHeight="1" x14ac:dyDescent="0.25"/>
    <row r="1020" ht="15.6" customHeight="1" x14ac:dyDescent="0.25"/>
    <row r="1021" ht="15.6" customHeight="1" x14ac:dyDescent="0.25"/>
    <row r="1022" ht="15.6" customHeight="1" x14ac:dyDescent="0.25"/>
    <row r="1023" ht="15.6" customHeight="1" x14ac:dyDescent="0.25"/>
    <row r="1024" ht="15.6" customHeight="1" x14ac:dyDescent="0.25"/>
    <row r="1025" ht="15.6" customHeight="1" x14ac:dyDescent="0.25"/>
    <row r="1026" ht="15.6" customHeight="1" x14ac:dyDescent="0.25"/>
    <row r="1027" ht="15.6" customHeight="1" x14ac:dyDescent="0.25"/>
    <row r="1028" ht="15.6" customHeight="1" x14ac:dyDescent="0.25"/>
    <row r="1029" ht="15.6" customHeight="1" x14ac:dyDescent="0.25"/>
    <row r="1030" ht="15.6" customHeight="1" x14ac:dyDescent="0.25"/>
    <row r="1031" ht="15.6" customHeight="1" x14ac:dyDescent="0.25"/>
    <row r="1032" ht="15.6" customHeight="1" x14ac:dyDescent="0.25"/>
    <row r="1033" ht="15.6" customHeight="1" x14ac:dyDescent="0.25"/>
    <row r="1034" ht="15.6" customHeight="1" x14ac:dyDescent="0.25"/>
    <row r="1035" ht="15.6" customHeight="1" x14ac:dyDescent="0.25"/>
    <row r="1036" ht="15.6" customHeight="1" x14ac:dyDescent="0.25"/>
    <row r="1037" ht="15.6" customHeight="1" x14ac:dyDescent="0.25"/>
    <row r="1038" ht="15.6" customHeight="1" x14ac:dyDescent="0.25"/>
    <row r="1039" ht="15.6" customHeight="1" x14ac:dyDescent="0.25"/>
    <row r="1040" ht="15.6" customHeight="1" x14ac:dyDescent="0.25"/>
    <row r="1041" ht="15.6" customHeight="1" x14ac:dyDescent="0.25"/>
    <row r="1042" ht="15.6" customHeight="1" x14ac:dyDescent="0.25"/>
    <row r="1043" ht="15.6" customHeight="1" x14ac:dyDescent="0.25"/>
    <row r="1044" ht="15.6" customHeight="1" x14ac:dyDescent="0.25"/>
    <row r="1045" ht="15.6" customHeight="1" x14ac:dyDescent="0.25"/>
    <row r="1046" ht="15.6" customHeight="1" x14ac:dyDescent="0.25"/>
    <row r="1047" ht="15.6" customHeight="1" x14ac:dyDescent="0.25"/>
    <row r="1048" ht="15.6" customHeight="1" x14ac:dyDescent="0.25"/>
    <row r="1049" ht="15.6" customHeight="1" x14ac:dyDescent="0.25"/>
    <row r="1050" ht="15.6" customHeight="1" x14ac:dyDescent="0.25"/>
    <row r="1051" ht="15.6" customHeight="1" x14ac:dyDescent="0.25"/>
    <row r="1052" ht="15.6" customHeight="1" x14ac:dyDescent="0.25"/>
    <row r="1053" ht="15.6" customHeight="1" x14ac:dyDescent="0.25"/>
    <row r="1054" ht="15.6" customHeight="1" x14ac:dyDescent="0.25"/>
    <row r="1055" ht="15.6" customHeight="1" x14ac:dyDescent="0.25"/>
    <row r="1056" ht="15.6" customHeight="1" x14ac:dyDescent="0.25"/>
    <row r="1057" ht="15.6" customHeight="1" x14ac:dyDescent="0.25"/>
    <row r="1058" ht="15.6" customHeight="1" x14ac:dyDescent="0.25"/>
    <row r="1059" ht="15.6" customHeight="1" x14ac:dyDescent="0.25"/>
    <row r="1060" ht="15.6" customHeight="1" x14ac:dyDescent="0.25"/>
    <row r="1061" ht="15.6" customHeight="1" x14ac:dyDescent="0.25"/>
    <row r="1062" ht="15.6" customHeight="1" x14ac:dyDescent="0.25"/>
    <row r="1063" ht="15.6" customHeight="1" x14ac:dyDescent="0.25"/>
    <row r="1064" ht="15.6" customHeight="1" x14ac:dyDescent="0.25"/>
    <row r="1065" ht="15.6" customHeight="1" x14ac:dyDescent="0.25"/>
    <row r="1066" ht="15.6" customHeight="1" x14ac:dyDescent="0.25"/>
    <row r="1067" ht="15.6" customHeight="1" x14ac:dyDescent="0.25"/>
    <row r="1068" ht="15.6" customHeight="1" x14ac:dyDescent="0.25"/>
    <row r="1069" ht="15.6" customHeight="1" x14ac:dyDescent="0.25"/>
    <row r="1070" ht="15.6" customHeight="1" x14ac:dyDescent="0.25"/>
    <row r="1071" ht="15.6" customHeight="1" x14ac:dyDescent="0.25"/>
    <row r="1072" ht="15.6" customHeight="1" x14ac:dyDescent="0.25"/>
    <row r="1073" ht="15.6" customHeight="1" x14ac:dyDescent="0.25"/>
    <row r="1074" ht="15.6" customHeight="1" x14ac:dyDescent="0.25"/>
    <row r="1075" ht="15.6" customHeight="1" x14ac:dyDescent="0.25"/>
    <row r="1076" ht="15.6" customHeight="1" x14ac:dyDescent="0.25"/>
    <row r="1077" ht="15.6" customHeight="1" x14ac:dyDescent="0.25"/>
    <row r="1078" ht="15.6" customHeight="1" x14ac:dyDescent="0.25"/>
    <row r="1079" ht="15.6" customHeight="1" x14ac:dyDescent="0.25"/>
    <row r="1080" ht="15.6" customHeight="1" x14ac:dyDescent="0.25"/>
    <row r="1081" ht="15.6" customHeight="1" x14ac:dyDescent="0.25"/>
    <row r="1082" ht="15.6" customHeight="1" x14ac:dyDescent="0.25"/>
    <row r="1083" ht="15.6" customHeight="1" x14ac:dyDescent="0.25"/>
    <row r="1084" ht="15.6" customHeight="1" x14ac:dyDescent="0.25"/>
    <row r="1085" ht="15.6" customHeight="1" x14ac:dyDescent="0.25"/>
    <row r="1086" ht="15.6" customHeight="1" x14ac:dyDescent="0.25"/>
    <row r="1087" ht="15.6" customHeight="1" x14ac:dyDescent="0.25"/>
    <row r="1088" ht="15.6" customHeight="1" x14ac:dyDescent="0.25"/>
    <row r="1089" ht="15.6" customHeight="1" x14ac:dyDescent="0.25"/>
    <row r="1090" ht="15.6" customHeight="1" x14ac:dyDescent="0.25"/>
    <row r="1091" ht="15.6" customHeight="1" x14ac:dyDescent="0.25"/>
    <row r="1092" ht="15.6" customHeight="1" x14ac:dyDescent="0.25"/>
    <row r="1093" ht="15.6" customHeight="1" x14ac:dyDescent="0.25"/>
    <row r="1094" ht="15.6" customHeight="1" x14ac:dyDescent="0.25"/>
    <row r="1095" ht="15.6" customHeight="1" x14ac:dyDescent="0.25"/>
    <row r="1096" ht="15.6" customHeight="1" x14ac:dyDescent="0.25"/>
    <row r="1097" ht="15.6" customHeight="1" x14ac:dyDescent="0.25"/>
    <row r="1098" ht="15.6" customHeight="1" x14ac:dyDescent="0.25"/>
    <row r="1099" ht="15.6" customHeight="1" x14ac:dyDescent="0.25"/>
    <row r="1100" ht="15.6" customHeight="1" x14ac:dyDescent="0.25"/>
    <row r="1101" ht="15.6" customHeight="1" x14ac:dyDescent="0.25"/>
    <row r="1102" ht="15.6" customHeight="1" x14ac:dyDescent="0.25"/>
    <row r="1103" ht="15.6" customHeight="1" x14ac:dyDescent="0.25"/>
    <row r="1104" ht="15.6" customHeight="1" x14ac:dyDescent="0.25"/>
    <row r="1105" ht="15.6" customHeight="1" x14ac:dyDescent="0.25"/>
    <row r="1106" ht="15.6" customHeight="1" x14ac:dyDescent="0.25"/>
    <row r="1107" ht="15.6" customHeight="1" x14ac:dyDescent="0.25"/>
    <row r="1108" ht="15.6" customHeight="1" x14ac:dyDescent="0.25"/>
    <row r="1109" ht="15.6" customHeight="1" x14ac:dyDescent="0.25"/>
    <row r="1110" ht="15.6" customHeight="1" x14ac:dyDescent="0.25"/>
    <row r="1111" ht="15.6" customHeight="1" x14ac:dyDescent="0.25"/>
    <row r="1112" ht="15.6" customHeight="1" x14ac:dyDescent="0.25"/>
    <row r="1113" ht="15.6" customHeight="1" x14ac:dyDescent="0.25"/>
    <row r="1114" ht="15.6" customHeight="1" x14ac:dyDescent="0.25"/>
    <row r="1115" ht="15.6" customHeight="1" x14ac:dyDescent="0.25"/>
    <row r="1116" ht="15.6" customHeight="1" x14ac:dyDescent="0.25"/>
    <row r="1117" ht="15.6" customHeight="1" x14ac:dyDescent="0.25"/>
    <row r="1118" ht="15.6" customHeight="1" x14ac:dyDescent="0.25"/>
    <row r="1119" ht="15.6" customHeight="1" x14ac:dyDescent="0.25"/>
    <row r="1120" ht="15.6" customHeight="1" x14ac:dyDescent="0.25"/>
    <row r="1121" ht="15.6" customHeight="1" x14ac:dyDescent="0.25"/>
    <row r="1122" ht="15.6" customHeight="1" x14ac:dyDescent="0.25"/>
    <row r="1123" ht="15.6" customHeight="1" x14ac:dyDescent="0.25"/>
    <row r="1124" ht="15.6" customHeight="1" x14ac:dyDescent="0.25"/>
    <row r="1125" ht="15.6" customHeight="1" x14ac:dyDescent="0.25"/>
    <row r="1126" ht="15.6" customHeight="1" x14ac:dyDescent="0.25"/>
    <row r="1127" ht="15.6" customHeight="1" x14ac:dyDescent="0.25"/>
    <row r="1128" ht="15.6" customHeight="1" x14ac:dyDescent="0.25"/>
    <row r="1129" ht="15.6" customHeight="1" x14ac:dyDescent="0.25"/>
    <row r="1130" ht="15.6" customHeight="1" x14ac:dyDescent="0.25"/>
    <row r="1131" ht="15.6" customHeight="1" x14ac:dyDescent="0.25"/>
    <row r="1132" ht="15.6" customHeight="1" x14ac:dyDescent="0.25"/>
    <row r="1133" ht="15.6" customHeight="1" x14ac:dyDescent="0.25"/>
    <row r="1134" ht="15.6" customHeight="1" x14ac:dyDescent="0.25"/>
    <row r="1135" ht="15.6" customHeight="1" x14ac:dyDescent="0.25"/>
    <row r="1136" ht="15.6" customHeight="1" x14ac:dyDescent="0.25"/>
    <row r="1137" ht="15.6" customHeight="1" x14ac:dyDescent="0.25"/>
    <row r="1138" ht="15.6" customHeight="1" x14ac:dyDescent="0.25"/>
    <row r="1139" ht="15.6" customHeight="1" x14ac:dyDescent="0.25"/>
    <row r="1140" ht="15.6" customHeight="1" x14ac:dyDescent="0.25"/>
    <row r="1141" ht="15.6" customHeight="1" x14ac:dyDescent="0.25"/>
    <row r="1142" ht="15.6" customHeight="1" x14ac:dyDescent="0.25"/>
    <row r="1143" ht="15.6" customHeight="1" x14ac:dyDescent="0.25"/>
    <row r="1144" ht="15.6" customHeight="1" x14ac:dyDescent="0.25"/>
    <row r="1145" ht="15.6" customHeight="1" x14ac:dyDescent="0.25"/>
    <row r="1146" ht="15.6" customHeight="1" x14ac:dyDescent="0.25"/>
    <row r="1147" ht="15.6" customHeight="1" x14ac:dyDescent="0.25"/>
    <row r="1148" ht="15.6" customHeight="1" x14ac:dyDescent="0.25"/>
    <row r="1149" ht="15.6" customHeight="1" x14ac:dyDescent="0.25"/>
    <row r="1150" ht="15.6" customHeight="1" x14ac:dyDescent="0.25"/>
    <row r="1151" ht="15.6" customHeight="1" x14ac:dyDescent="0.25"/>
    <row r="1152" ht="15.6" customHeight="1" x14ac:dyDescent="0.25"/>
    <row r="1153" ht="15.6" customHeight="1" x14ac:dyDescent="0.25"/>
    <row r="1154" ht="15.6" customHeight="1" x14ac:dyDescent="0.25"/>
    <row r="1155" ht="15.6" customHeight="1" x14ac:dyDescent="0.25"/>
    <row r="1156" ht="15.6" customHeight="1" x14ac:dyDescent="0.25"/>
    <row r="1157" ht="15.6" customHeight="1" x14ac:dyDescent="0.25"/>
    <row r="1158" ht="15.6" customHeight="1" x14ac:dyDescent="0.25"/>
    <row r="1159" ht="15.6" customHeight="1" x14ac:dyDescent="0.25"/>
    <row r="1160" ht="15.6" customHeight="1" x14ac:dyDescent="0.25"/>
    <row r="1161" ht="15.6" customHeight="1" x14ac:dyDescent="0.25"/>
    <row r="1162" ht="15.6" customHeight="1" x14ac:dyDescent="0.25"/>
    <row r="1163" ht="15.6" customHeight="1" x14ac:dyDescent="0.25"/>
    <row r="1164" ht="15.6" customHeight="1" x14ac:dyDescent="0.25"/>
    <row r="1165" ht="15.6" customHeight="1" x14ac:dyDescent="0.25"/>
    <row r="1166" ht="15.6" customHeight="1" x14ac:dyDescent="0.25"/>
    <row r="1167" ht="15.6" customHeight="1" x14ac:dyDescent="0.25"/>
    <row r="1168" ht="15.6" customHeight="1" x14ac:dyDescent="0.25"/>
    <row r="1169" ht="15.6" customHeight="1" x14ac:dyDescent="0.25"/>
    <row r="1170" ht="15.6" customHeight="1" x14ac:dyDescent="0.25"/>
    <row r="1171" ht="15.6" customHeight="1" x14ac:dyDescent="0.25"/>
    <row r="1172" ht="15.6" customHeight="1" x14ac:dyDescent="0.25"/>
    <row r="1173" ht="15.6" customHeight="1" x14ac:dyDescent="0.25"/>
    <row r="1174" ht="15.6" customHeight="1" x14ac:dyDescent="0.25"/>
    <row r="1175" ht="15.6" customHeight="1" x14ac:dyDescent="0.25"/>
    <row r="1176" ht="15.6" customHeight="1" x14ac:dyDescent="0.25"/>
    <row r="1177" ht="15.6" customHeight="1" x14ac:dyDescent="0.25"/>
    <row r="1178" ht="15.6" customHeight="1" x14ac:dyDescent="0.25"/>
    <row r="1179" ht="15.6" customHeight="1" x14ac:dyDescent="0.25"/>
    <row r="1180" ht="15.6" customHeight="1" x14ac:dyDescent="0.25"/>
    <row r="1181" ht="15.6" customHeight="1" x14ac:dyDescent="0.25"/>
    <row r="1182" ht="15.6" customHeight="1" x14ac:dyDescent="0.25"/>
    <row r="1183" ht="15.6" customHeight="1" x14ac:dyDescent="0.25"/>
    <row r="1184" ht="15.6" customHeight="1" x14ac:dyDescent="0.25"/>
    <row r="1185" ht="15.6" customHeight="1" x14ac:dyDescent="0.25"/>
    <row r="1186" ht="15.6" customHeight="1" x14ac:dyDescent="0.25"/>
    <row r="1187" ht="15.6" customHeight="1" x14ac:dyDescent="0.25"/>
    <row r="1188" ht="15.6" customHeight="1" x14ac:dyDescent="0.25"/>
    <row r="1189" ht="15.6" customHeight="1" x14ac:dyDescent="0.25"/>
    <row r="1190" ht="15.6" customHeight="1" x14ac:dyDescent="0.25"/>
    <row r="1191" ht="15.6" customHeight="1" x14ac:dyDescent="0.25"/>
    <row r="1192" ht="15.6" customHeight="1" x14ac:dyDescent="0.25"/>
    <row r="1193" ht="15.6" customHeight="1" x14ac:dyDescent="0.25"/>
    <row r="1194" ht="15.6" customHeight="1" x14ac:dyDescent="0.25"/>
    <row r="1195" ht="15.6" customHeight="1" x14ac:dyDescent="0.25"/>
    <row r="1196" ht="15.6" customHeight="1" x14ac:dyDescent="0.25"/>
    <row r="1197" ht="15.6" customHeight="1" x14ac:dyDescent="0.25"/>
    <row r="1198" ht="15.6" customHeight="1" x14ac:dyDescent="0.25"/>
    <row r="1199" ht="15.6" customHeight="1" x14ac:dyDescent="0.25"/>
    <row r="1200" ht="15.6" customHeight="1" x14ac:dyDescent="0.25"/>
    <row r="1201" ht="15.6" customHeight="1" x14ac:dyDescent="0.25"/>
    <row r="1202" ht="15.6" customHeight="1" x14ac:dyDescent="0.25"/>
    <row r="1203" ht="15.6" customHeight="1" x14ac:dyDescent="0.25"/>
    <row r="1204" ht="15.6" customHeight="1" x14ac:dyDescent="0.25"/>
    <row r="1205" ht="15.6" customHeight="1" x14ac:dyDescent="0.25"/>
    <row r="1206" ht="15.6" customHeight="1" x14ac:dyDescent="0.25"/>
    <row r="1207" ht="15.6" customHeight="1" x14ac:dyDescent="0.25"/>
    <row r="1208" ht="15.6" customHeight="1" x14ac:dyDescent="0.25"/>
    <row r="1209" ht="15.6" customHeight="1" x14ac:dyDescent="0.25"/>
    <row r="1210" ht="15.6" customHeight="1" x14ac:dyDescent="0.25"/>
    <row r="1211" ht="15.6" customHeight="1" x14ac:dyDescent="0.25"/>
    <row r="1212" ht="15.6" customHeight="1" x14ac:dyDescent="0.25"/>
    <row r="1213" ht="15.6" customHeight="1" x14ac:dyDescent="0.25"/>
    <row r="1214" ht="15.6" customHeight="1" x14ac:dyDescent="0.25"/>
    <row r="1215" ht="15.6" customHeight="1" x14ac:dyDescent="0.25"/>
    <row r="1216" ht="15.6" customHeight="1" x14ac:dyDescent="0.25"/>
    <row r="1217" ht="15.6" customHeight="1" x14ac:dyDescent="0.25"/>
    <row r="1218" ht="15.6" customHeight="1" x14ac:dyDescent="0.25"/>
    <row r="1219" ht="15.6" customHeight="1" x14ac:dyDescent="0.25"/>
    <row r="1220" ht="15.6" customHeight="1" x14ac:dyDescent="0.25"/>
    <row r="1221" ht="15.6" customHeight="1" x14ac:dyDescent="0.25"/>
    <row r="1222" ht="15.6" customHeight="1" x14ac:dyDescent="0.25"/>
    <row r="1223" ht="15.6" customHeight="1" x14ac:dyDescent="0.25"/>
    <row r="1224" ht="15.6" customHeight="1" x14ac:dyDescent="0.25"/>
    <row r="1225" ht="15.6" customHeight="1" x14ac:dyDescent="0.25"/>
    <row r="1226" ht="15.6" customHeight="1" x14ac:dyDescent="0.25"/>
    <row r="1227" ht="15.6" customHeight="1" x14ac:dyDescent="0.25"/>
    <row r="1228" ht="15.6" customHeight="1" x14ac:dyDescent="0.25"/>
    <row r="1229" ht="15.6" customHeight="1" x14ac:dyDescent="0.25"/>
    <row r="1230" ht="15.6" customHeight="1" x14ac:dyDescent="0.25"/>
    <row r="1231" ht="15.6" customHeight="1" x14ac:dyDescent="0.25"/>
    <row r="1232" ht="15.6" customHeight="1" x14ac:dyDescent="0.25"/>
    <row r="1233" ht="15.6" customHeight="1" x14ac:dyDescent="0.25"/>
    <row r="1234" ht="15.6" customHeight="1" x14ac:dyDescent="0.25"/>
    <row r="1235" ht="15.6" customHeight="1" x14ac:dyDescent="0.25"/>
    <row r="1236" ht="15.6" customHeight="1" x14ac:dyDescent="0.25"/>
    <row r="1237" ht="15.6" customHeight="1" x14ac:dyDescent="0.25"/>
    <row r="1238" ht="15.6" customHeight="1" x14ac:dyDescent="0.25"/>
    <row r="1239" ht="15.6" customHeight="1" x14ac:dyDescent="0.25"/>
    <row r="1240" ht="15.6" customHeight="1" x14ac:dyDescent="0.25"/>
    <row r="1241" ht="15.6" customHeight="1" x14ac:dyDescent="0.25"/>
    <row r="1242" ht="15.6" customHeight="1" x14ac:dyDescent="0.25"/>
    <row r="1243" ht="15.6" customHeight="1" x14ac:dyDescent="0.25"/>
    <row r="1244" ht="15.6" customHeight="1" x14ac:dyDescent="0.25"/>
    <row r="1245" ht="15.6" customHeight="1" x14ac:dyDescent="0.25"/>
    <row r="1246" ht="15.6" customHeight="1" x14ac:dyDescent="0.25"/>
    <row r="1247" ht="15.6" customHeight="1" x14ac:dyDescent="0.25"/>
    <row r="1248" ht="15.6" customHeight="1" x14ac:dyDescent="0.25"/>
    <row r="1249" ht="15.6" customHeight="1" x14ac:dyDescent="0.25"/>
    <row r="1250" ht="15.6" customHeight="1" x14ac:dyDescent="0.25"/>
    <row r="1251" ht="15.6" customHeight="1" x14ac:dyDescent="0.25"/>
    <row r="1252" ht="15.6" customHeight="1" x14ac:dyDescent="0.25"/>
    <row r="1253" ht="15.6" customHeight="1" x14ac:dyDescent="0.25"/>
    <row r="1254" ht="15.6" customHeight="1" x14ac:dyDescent="0.25"/>
    <row r="1255" ht="15.6" customHeight="1" x14ac:dyDescent="0.25"/>
    <row r="1256" ht="15.6" customHeight="1" x14ac:dyDescent="0.25"/>
    <row r="1257" ht="15.6" customHeight="1" x14ac:dyDescent="0.25"/>
    <row r="1258" ht="15.6" customHeight="1" x14ac:dyDescent="0.25"/>
    <row r="1259" ht="15.6" customHeight="1" x14ac:dyDescent="0.25"/>
    <row r="1260" ht="15.6" customHeight="1" x14ac:dyDescent="0.25"/>
    <row r="1261" ht="15.6" customHeight="1" x14ac:dyDescent="0.25"/>
    <row r="1262" ht="15.6" customHeight="1" x14ac:dyDescent="0.25"/>
    <row r="1263" ht="15.6" customHeight="1" x14ac:dyDescent="0.25"/>
    <row r="1264" ht="15.6" customHeight="1" x14ac:dyDescent="0.25"/>
    <row r="1265" ht="15.6" customHeight="1" x14ac:dyDescent="0.25"/>
    <row r="1266" ht="15.6" customHeight="1" x14ac:dyDescent="0.25"/>
    <row r="1267" ht="15.6" customHeight="1" x14ac:dyDescent="0.25"/>
    <row r="1268" ht="15.6" customHeight="1" x14ac:dyDescent="0.25"/>
    <row r="1269" ht="15.6" customHeight="1" x14ac:dyDescent="0.25"/>
    <row r="1270" ht="15.6" customHeight="1" x14ac:dyDescent="0.25"/>
    <row r="1271" ht="15.6" customHeight="1" x14ac:dyDescent="0.25"/>
    <row r="1272" ht="15.6" customHeight="1" x14ac:dyDescent="0.25"/>
    <row r="1273" ht="15.6" customHeight="1" x14ac:dyDescent="0.25"/>
    <row r="1274" ht="15.6" customHeight="1" x14ac:dyDescent="0.25"/>
    <row r="1275" ht="15.6" customHeight="1" x14ac:dyDescent="0.25"/>
    <row r="1276" ht="15.6" customHeight="1" x14ac:dyDescent="0.25"/>
    <row r="1277" ht="15.6" customHeight="1" x14ac:dyDescent="0.25"/>
    <row r="1278" ht="15.6" customHeight="1" x14ac:dyDescent="0.25"/>
    <row r="1279" ht="15.6" customHeight="1" x14ac:dyDescent="0.25"/>
    <row r="1280" ht="15.6" customHeight="1" x14ac:dyDescent="0.25"/>
    <row r="1281" ht="15.6" customHeight="1" x14ac:dyDescent="0.25"/>
    <row r="1282" ht="15.6" customHeight="1" x14ac:dyDescent="0.25"/>
    <row r="1283" ht="15.6" customHeight="1" x14ac:dyDescent="0.25"/>
    <row r="1284" ht="15.6" customHeight="1" x14ac:dyDescent="0.25"/>
    <row r="1285" ht="15.6" customHeight="1" x14ac:dyDescent="0.25"/>
    <row r="1286" ht="15.6" customHeight="1" x14ac:dyDescent="0.25"/>
    <row r="1287" ht="15.6" customHeight="1" x14ac:dyDescent="0.25"/>
    <row r="1288" ht="15.6" customHeight="1" x14ac:dyDescent="0.25"/>
    <row r="1289" ht="15.6" customHeight="1" x14ac:dyDescent="0.25"/>
    <row r="1290" ht="15.6" customHeight="1" x14ac:dyDescent="0.25"/>
    <row r="1291" ht="15.6" customHeight="1" x14ac:dyDescent="0.25"/>
    <row r="1292" ht="15.6" customHeight="1" x14ac:dyDescent="0.25"/>
    <row r="1293" ht="15.6" customHeight="1" x14ac:dyDescent="0.25"/>
    <row r="1294" ht="15.6" customHeight="1" x14ac:dyDescent="0.25"/>
    <row r="1295" ht="15.6" customHeight="1" x14ac:dyDescent="0.25"/>
    <row r="1296" ht="15.6" customHeight="1" x14ac:dyDescent="0.25"/>
    <row r="1297" ht="15.6" customHeight="1" x14ac:dyDescent="0.25"/>
    <row r="1298" ht="15.6" customHeight="1" x14ac:dyDescent="0.25"/>
    <row r="1299" ht="15.6" customHeight="1" x14ac:dyDescent="0.25"/>
    <row r="1300" ht="15.6" customHeight="1" x14ac:dyDescent="0.25"/>
    <row r="1301" ht="15.6" customHeight="1" x14ac:dyDescent="0.25"/>
    <row r="1302" ht="15.6" customHeight="1" x14ac:dyDescent="0.25"/>
    <row r="1303" ht="15.6" customHeight="1" x14ac:dyDescent="0.25"/>
    <row r="1304" ht="15.6" customHeight="1" x14ac:dyDescent="0.25"/>
    <row r="1305" ht="15.6" customHeight="1" x14ac:dyDescent="0.25"/>
    <row r="1306" ht="15.6" customHeight="1" x14ac:dyDescent="0.25"/>
    <row r="1307" ht="15.6" customHeight="1" x14ac:dyDescent="0.25"/>
    <row r="1308" ht="15.6" customHeight="1" x14ac:dyDescent="0.25"/>
    <row r="1309" ht="15.6" customHeight="1" x14ac:dyDescent="0.25"/>
    <row r="1310" ht="15.6" customHeight="1" x14ac:dyDescent="0.25"/>
    <row r="1311" ht="15.6" customHeight="1" x14ac:dyDescent="0.25"/>
    <row r="1312" ht="15.6" customHeight="1" x14ac:dyDescent="0.25"/>
    <row r="1313" ht="15.6" customHeight="1" x14ac:dyDescent="0.25"/>
    <row r="1314" ht="15.6" customHeight="1" x14ac:dyDescent="0.25"/>
    <row r="1315" ht="15.6" customHeight="1" x14ac:dyDescent="0.25"/>
    <row r="1316" ht="15.6" customHeight="1" x14ac:dyDescent="0.25"/>
    <row r="1317" ht="15.6" customHeight="1" x14ac:dyDescent="0.25"/>
    <row r="1318" ht="15.6" customHeight="1" x14ac:dyDescent="0.25"/>
    <row r="1319" ht="15.6" customHeight="1" x14ac:dyDescent="0.25"/>
    <row r="1320" ht="15.6" customHeight="1" x14ac:dyDescent="0.25"/>
    <row r="1321" ht="15.6" customHeight="1" x14ac:dyDescent="0.25"/>
    <row r="1322" ht="15.6" customHeight="1" x14ac:dyDescent="0.25"/>
    <row r="1323" ht="15.6" customHeight="1" x14ac:dyDescent="0.25"/>
    <row r="1324" ht="15.6" customHeight="1" x14ac:dyDescent="0.25"/>
    <row r="1325" ht="15.6" customHeight="1" x14ac:dyDescent="0.25"/>
    <row r="1326" ht="15.6" customHeight="1" x14ac:dyDescent="0.25"/>
    <row r="1327" ht="15.6" customHeight="1" x14ac:dyDescent="0.25"/>
    <row r="1328" ht="15.6" customHeight="1" x14ac:dyDescent="0.25"/>
    <row r="1329" ht="15.6" customHeight="1" x14ac:dyDescent="0.25"/>
    <row r="1330" ht="15.6" customHeight="1" x14ac:dyDescent="0.25"/>
    <row r="1331" ht="15.6" customHeight="1" x14ac:dyDescent="0.25"/>
    <row r="1332" ht="15.6" customHeight="1" x14ac:dyDescent="0.25"/>
    <row r="1333" ht="15.6" customHeight="1" x14ac:dyDescent="0.25"/>
    <row r="1334" ht="15.6" customHeight="1" x14ac:dyDescent="0.25"/>
    <row r="1335" ht="15.6" customHeight="1" x14ac:dyDescent="0.25"/>
    <row r="1336" ht="15.6" customHeight="1" x14ac:dyDescent="0.25"/>
    <row r="1337" ht="15.6" customHeight="1" x14ac:dyDescent="0.25"/>
    <row r="1338" ht="15.6" customHeight="1" x14ac:dyDescent="0.25"/>
    <row r="1339" ht="15.6" customHeight="1" x14ac:dyDescent="0.25"/>
    <row r="1340" ht="15.6" customHeight="1" x14ac:dyDescent="0.25"/>
    <row r="1341" ht="15.6" customHeight="1" x14ac:dyDescent="0.25"/>
    <row r="1342" ht="15.6" customHeight="1" x14ac:dyDescent="0.25"/>
    <row r="1343" ht="15.6" customHeight="1" x14ac:dyDescent="0.25"/>
    <row r="1344" ht="15.6" customHeight="1" x14ac:dyDescent="0.25"/>
    <row r="1345" ht="15.6" customHeight="1" x14ac:dyDescent="0.25"/>
    <row r="1346" ht="15.6" customHeight="1" x14ac:dyDescent="0.25"/>
    <row r="1347" ht="15.6" customHeight="1" x14ac:dyDescent="0.25"/>
    <row r="1348" ht="15.6" customHeight="1" x14ac:dyDescent="0.25"/>
    <row r="1349" ht="15.6" customHeight="1" x14ac:dyDescent="0.25"/>
    <row r="1350" ht="15.6" customHeight="1" x14ac:dyDescent="0.25"/>
    <row r="1351" ht="15.6" customHeight="1" x14ac:dyDescent="0.25"/>
    <row r="1352" ht="15.6" customHeight="1" x14ac:dyDescent="0.25"/>
    <row r="1353" ht="15.6" customHeight="1" x14ac:dyDescent="0.25"/>
    <row r="1354" ht="15.6" customHeight="1" x14ac:dyDescent="0.25"/>
    <row r="1355" ht="15.6" customHeight="1" x14ac:dyDescent="0.25"/>
    <row r="1356" ht="15.6" customHeight="1" x14ac:dyDescent="0.25"/>
    <row r="1357" ht="15.6" customHeight="1" x14ac:dyDescent="0.25"/>
    <row r="1358" ht="15.6" customHeight="1" x14ac:dyDescent="0.25"/>
    <row r="1359" ht="15.6" customHeight="1" x14ac:dyDescent="0.25"/>
    <row r="1360" ht="15.6" customHeight="1" x14ac:dyDescent="0.25"/>
    <row r="1361" ht="15.6" customHeight="1" x14ac:dyDescent="0.25"/>
    <row r="1362" ht="15.6" customHeight="1" x14ac:dyDescent="0.25"/>
    <row r="1363" ht="15.6" customHeight="1" x14ac:dyDescent="0.25"/>
    <row r="1364" ht="15.6" customHeight="1" x14ac:dyDescent="0.25"/>
    <row r="1365" ht="15.6" customHeight="1" x14ac:dyDescent="0.25"/>
    <row r="1366" ht="15.6" customHeight="1" x14ac:dyDescent="0.25"/>
    <row r="1367" ht="15.6" customHeight="1" x14ac:dyDescent="0.25"/>
    <row r="1368" ht="15.6" customHeight="1" x14ac:dyDescent="0.25"/>
    <row r="1369" ht="15.6" customHeight="1" x14ac:dyDescent="0.25"/>
    <row r="1370" ht="15.6" customHeight="1" x14ac:dyDescent="0.25"/>
    <row r="1371" ht="15.6" customHeight="1" x14ac:dyDescent="0.25"/>
    <row r="1372" ht="15.6" customHeight="1" x14ac:dyDescent="0.25"/>
    <row r="1373" ht="15.6" customHeight="1" x14ac:dyDescent="0.25"/>
    <row r="1374" ht="15.6" customHeight="1" x14ac:dyDescent="0.25"/>
    <row r="1375" ht="15.6" customHeight="1" x14ac:dyDescent="0.25"/>
    <row r="1376" ht="15.6" customHeight="1" x14ac:dyDescent="0.25"/>
    <row r="1377" ht="15.6" customHeight="1" x14ac:dyDescent="0.25"/>
    <row r="1378" ht="15.6" customHeight="1" x14ac:dyDescent="0.25"/>
    <row r="1379" ht="15.6" customHeight="1" x14ac:dyDescent="0.25"/>
    <row r="1380" ht="15.6" customHeight="1" x14ac:dyDescent="0.25"/>
  </sheetData>
  <mergeCells count="1">
    <mergeCell ref="B2:Q2"/>
  </mergeCells>
  <phoneticPr fontId="0" type="noConversion"/>
  <printOptions horizontalCentered="1" verticalCentered="1"/>
  <pageMargins left="0.5" right="0.25" top="0.25" bottom="0.25" header="0.5" footer="0.5"/>
  <pageSetup paperSize="9" scale="70" orientation="portrait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143"/>
  <sheetViews>
    <sheetView zoomScale="80" zoomScaleNormal="80" workbookViewId="0">
      <selection activeCell="F125" sqref="F125"/>
    </sheetView>
  </sheetViews>
  <sheetFormatPr defaultColWidth="10.42578125" defaultRowHeight="15.75" x14ac:dyDescent="0.25"/>
  <cols>
    <col min="1" max="1" width="7.28515625" style="45" customWidth="1"/>
    <col min="2" max="2" width="1.85546875" style="45" customWidth="1"/>
    <col min="3" max="3" width="35.28515625" style="45" bestFit="1" customWidth="1"/>
    <col min="4" max="4" width="9.140625" style="45" bestFit="1" customWidth="1"/>
    <col min="5" max="5" width="20" style="45" customWidth="1"/>
    <col min="6" max="6" width="3.28515625" style="45" customWidth="1"/>
    <col min="7" max="16" width="25.7109375" style="45" customWidth="1"/>
    <col min="17" max="21" width="25.7109375" style="230" customWidth="1"/>
    <col min="22" max="22" width="25.7109375" style="228" customWidth="1"/>
    <col min="23" max="34" width="25.7109375" style="45" customWidth="1"/>
    <col min="35" max="16384" width="10.42578125" style="45"/>
  </cols>
  <sheetData>
    <row r="1" spans="1:20" x14ac:dyDescent="0.25">
      <c r="A1" s="558" t="s">
        <v>257</v>
      </c>
      <c r="B1" s="558"/>
      <c r="C1" s="558"/>
      <c r="D1" s="558"/>
      <c r="E1" s="558"/>
      <c r="F1" s="558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29"/>
    </row>
    <row r="2" spans="1:20" ht="16.5" thickBot="1" x14ac:dyDescent="0.3">
      <c r="A2" s="228">
        <v>37</v>
      </c>
    </row>
    <row r="3" spans="1:20" ht="16.5" thickTop="1" x14ac:dyDescent="0.25">
      <c r="A3" s="546" t="s">
        <v>10</v>
      </c>
      <c r="B3" s="559" t="s">
        <v>258</v>
      </c>
      <c r="C3" s="549"/>
      <c r="D3" s="552" t="s">
        <v>82</v>
      </c>
      <c r="E3" s="554" t="s">
        <v>259</v>
      </c>
      <c r="F3" s="555"/>
      <c r="G3" s="8"/>
      <c r="H3" s="8"/>
      <c r="I3" s="8"/>
      <c r="J3" s="8"/>
      <c r="K3" s="8"/>
      <c r="L3" s="8"/>
      <c r="M3" s="8"/>
      <c r="N3" s="8"/>
      <c r="O3" s="8"/>
      <c r="P3" s="8"/>
      <c r="Q3" s="231"/>
    </row>
    <row r="4" spans="1:20" ht="16.5" thickBot="1" x14ac:dyDescent="0.3">
      <c r="A4" s="547"/>
      <c r="B4" s="550"/>
      <c r="C4" s="551"/>
      <c r="D4" s="553"/>
      <c r="E4" s="556" t="s">
        <v>2</v>
      </c>
      <c r="F4" s="557"/>
      <c r="G4" s="8"/>
      <c r="H4" s="8"/>
      <c r="I4" s="8"/>
      <c r="J4" s="8"/>
      <c r="K4" s="8"/>
      <c r="L4" s="8"/>
      <c r="M4" s="8"/>
      <c r="N4" s="8"/>
      <c r="O4" s="8"/>
      <c r="P4" s="8"/>
      <c r="Q4" s="231"/>
    </row>
    <row r="5" spans="1:20" ht="16.5" thickTop="1" x14ac:dyDescent="0.25">
      <c r="A5" s="46"/>
      <c r="B5" s="47"/>
      <c r="C5" s="48"/>
      <c r="D5" s="48"/>
      <c r="E5" s="47"/>
      <c r="F5" s="49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20" x14ac:dyDescent="0.25">
      <c r="A6" s="50" t="s">
        <v>12</v>
      </c>
      <c r="B6" s="51"/>
      <c r="C6" s="388" t="s">
        <v>478</v>
      </c>
      <c r="D6" s="53" t="s">
        <v>11</v>
      </c>
      <c r="E6" s="3"/>
      <c r="F6" s="54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20" x14ac:dyDescent="0.25">
      <c r="A7" s="55" t="s">
        <v>31</v>
      </c>
      <c r="B7" s="3"/>
      <c r="C7" s="4" t="s">
        <v>114</v>
      </c>
      <c r="D7" s="53" t="s">
        <v>18</v>
      </c>
      <c r="E7" s="5">
        <f>R7+T7</f>
        <v>95900</v>
      </c>
      <c r="F7" s="54"/>
      <c r="G7" s="70"/>
      <c r="H7" s="70"/>
      <c r="I7" s="70"/>
      <c r="J7" s="70"/>
      <c r="K7" s="70"/>
      <c r="L7" s="70"/>
      <c r="M7" s="70"/>
      <c r="N7" s="70"/>
      <c r="O7" s="70"/>
      <c r="P7" s="70"/>
      <c r="R7" s="232">
        <v>70000</v>
      </c>
      <c r="S7" s="230">
        <f>A2</f>
        <v>37</v>
      </c>
      <c r="T7" s="233">
        <f>S7/100*R7</f>
        <v>25900</v>
      </c>
    </row>
    <row r="8" spans="1:20" x14ac:dyDescent="0.25">
      <c r="A8" s="55">
        <f>SUM(A7+1)</f>
        <v>2</v>
      </c>
      <c r="B8" s="3"/>
      <c r="C8" s="4" t="s">
        <v>260</v>
      </c>
      <c r="D8" s="53" t="s">
        <v>17</v>
      </c>
      <c r="E8" s="5">
        <f t="shared" ref="E8:E69" si="0">R8+T8</f>
        <v>20550</v>
      </c>
      <c r="F8" s="54"/>
      <c r="G8" s="70"/>
      <c r="H8" s="70"/>
      <c r="I8" s="70"/>
      <c r="J8" s="70"/>
      <c r="K8" s="70"/>
      <c r="L8" s="70"/>
      <c r="M8" s="70"/>
      <c r="N8" s="70"/>
      <c r="O8" s="70"/>
      <c r="P8" s="70"/>
      <c r="R8" s="232">
        <v>15000</v>
      </c>
      <c r="S8" s="230">
        <f>S7</f>
        <v>37</v>
      </c>
      <c r="T8" s="233">
        <f t="shared" ref="T8:T72" si="1">S8/100*R8</f>
        <v>5550</v>
      </c>
    </row>
    <row r="9" spans="1:20" x14ac:dyDescent="0.25">
      <c r="A9" s="55">
        <f>SUM(A8+1)</f>
        <v>3</v>
      </c>
      <c r="B9" s="3"/>
      <c r="C9" s="4" t="s">
        <v>60</v>
      </c>
      <c r="D9" s="53" t="s">
        <v>17</v>
      </c>
      <c r="E9" s="5">
        <f t="shared" si="0"/>
        <v>1918</v>
      </c>
      <c r="F9" s="54"/>
      <c r="G9" s="70"/>
      <c r="H9" s="70"/>
      <c r="I9" s="70"/>
      <c r="J9" s="70"/>
      <c r="K9" s="70"/>
      <c r="L9" s="70"/>
      <c r="M9" s="70"/>
      <c r="N9" s="70"/>
      <c r="O9" s="70"/>
      <c r="P9" s="70"/>
      <c r="R9" s="232">
        <f>R7/50</f>
        <v>1400</v>
      </c>
      <c r="S9" s="230">
        <f t="shared" ref="S9:S73" si="2">S8</f>
        <v>37</v>
      </c>
      <c r="T9" s="233">
        <f t="shared" si="1"/>
        <v>518</v>
      </c>
    </row>
    <row r="10" spans="1:20" x14ac:dyDescent="0.25">
      <c r="A10" s="56"/>
      <c r="B10" s="3"/>
      <c r="C10" s="4"/>
      <c r="D10" s="53"/>
      <c r="E10" s="5">
        <f t="shared" si="0"/>
        <v>0</v>
      </c>
      <c r="F10" s="54"/>
      <c r="G10" s="70"/>
      <c r="H10" s="70"/>
      <c r="I10" s="70"/>
      <c r="J10" s="70"/>
      <c r="K10" s="70"/>
      <c r="L10" s="70"/>
      <c r="M10" s="70"/>
      <c r="N10" s="70"/>
      <c r="O10" s="70"/>
      <c r="P10" s="70"/>
      <c r="R10" s="232"/>
      <c r="S10" s="230">
        <f t="shared" si="2"/>
        <v>37</v>
      </c>
      <c r="T10" s="233">
        <f t="shared" si="1"/>
        <v>0</v>
      </c>
    </row>
    <row r="11" spans="1:20" x14ac:dyDescent="0.25">
      <c r="A11" s="50" t="s">
        <v>19</v>
      </c>
      <c r="B11" s="51"/>
      <c r="C11" s="52" t="s">
        <v>373</v>
      </c>
      <c r="D11" s="53"/>
      <c r="E11" s="5">
        <f t="shared" si="0"/>
        <v>0</v>
      </c>
      <c r="F11" s="54"/>
      <c r="G11" s="70"/>
      <c r="H11" s="70"/>
      <c r="I11" s="70"/>
      <c r="J11" s="70"/>
      <c r="K11" s="70"/>
      <c r="L11" s="70"/>
      <c r="M11" s="70"/>
      <c r="N11" s="70"/>
      <c r="O11" s="70"/>
      <c r="P11" s="70"/>
      <c r="R11" s="232"/>
      <c r="S11" s="230">
        <f t="shared" si="2"/>
        <v>37</v>
      </c>
      <c r="T11" s="233">
        <f t="shared" si="1"/>
        <v>0</v>
      </c>
    </row>
    <row r="12" spans="1:20" x14ac:dyDescent="0.25">
      <c r="A12" s="55" t="s">
        <v>31</v>
      </c>
      <c r="B12" s="3"/>
      <c r="C12" s="4" t="s">
        <v>69</v>
      </c>
      <c r="D12" s="53" t="s">
        <v>16</v>
      </c>
      <c r="E12" s="5">
        <f t="shared" si="0"/>
        <v>119875</v>
      </c>
      <c r="F12" s="54"/>
      <c r="G12" s="70"/>
      <c r="H12" s="70"/>
      <c r="I12" s="70"/>
      <c r="J12" s="70"/>
      <c r="K12" s="70"/>
      <c r="L12" s="70"/>
      <c r="M12" s="70"/>
      <c r="N12" s="70"/>
      <c r="O12" s="70"/>
      <c r="P12" s="70"/>
      <c r="R12" s="232">
        <f>350000/4</f>
        <v>87500</v>
      </c>
      <c r="S12" s="230">
        <f t="shared" si="2"/>
        <v>37</v>
      </c>
      <c r="T12" s="233">
        <f t="shared" si="1"/>
        <v>32375</v>
      </c>
    </row>
    <row r="13" spans="1:20" x14ac:dyDescent="0.25">
      <c r="A13" s="55">
        <f>SUM(A12+1)</f>
        <v>2</v>
      </c>
      <c r="B13" s="3"/>
      <c r="C13" s="4" t="s">
        <v>20</v>
      </c>
      <c r="D13" s="53" t="s">
        <v>16</v>
      </c>
      <c r="E13" s="5">
        <f t="shared" si="0"/>
        <v>102750</v>
      </c>
      <c r="F13" s="54"/>
      <c r="G13" s="70"/>
      <c r="H13" s="70"/>
      <c r="I13" s="70"/>
      <c r="J13" s="70"/>
      <c r="K13" s="70"/>
      <c r="L13" s="70"/>
      <c r="M13" s="70"/>
      <c r="N13" s="70"/>
      <c r="O13" s="70"/>
      <c r="P13" s="70"/>
      <c r="R13" s="232">
        <f>300000/4</f>
        <v>75000</v>
      </c>
      <c r="S13" s="230">
        <f t="shared" si="2"/>
        <v>37</v>
      </c>
      <c r="T13" s="233">
        <f t="shared" si="1"/>
        <v>27750</v>
      </c>
    </row>
    <row r="14" spans="1:20" x14ac:dyDescent="0.25">
      <c r="A14" s="55">
        <f>SUM(A13+1)</f>
        <v>3</v>
      </c>
      <c r="B14" s="3"/>
      <c r="C14" s="4" t="s">
        <v>300</v>
      </c>
      <c r="D14" s="53" t="s">
        <v>16</v>
      </c>
      <c r="E14" s="5">
        <f t="shared" si="0"/>
        <v>411000</v>
      </c>
      <c r="F14" s="54"/>
      <c r="G14" s="70"/>
      <c r="H14" s="70"/>
      <c r="I14" s="70"/>
      <c r="J14" s="70"/>
      <c r="K14" s="70"/>
      <c r="L14" s="70"/>
      <c r="M14" s="70"/>
      <c r="N14" s="70"/>
      <c r="O14" s="70"/>
      <c r="P14" s="70"/>
      <c r="R14" s="232">
        <v>300000</v>
      </c>
      <c r="S14" s="230">
        <f t="shared" si="2"/>
        <v>37</v>
      </c>
      <c r="T14" s="233">
        <f t="shared" si="1"/>
        <v>111000</v>
      </c>
    </row>
    <row r="15" spans="1:20" x14ac:dyDescent="0.25">
      <c r="A15" s="55">
        <f>SUM(A14+1)</f>
        <v>4</v>
      </c>
      <c r="B15" s="3"/>
      <c r="C15" s="397" t="s">
        <v>480</v>
      </c>
      <c r="D15" s="53" t="s">
        <v>16</v>
      </c>
      <c r="E15" s="5">
        <f t="shared" si="0"/>
        <v>171250</v>
      </c>
      <c r="F15" s="54"/>
      <c r="G15" s="70"/>
      <c r="H15" s="70"/>
      <c r="I15" s="70"/>
      <c r="J15" s="70"/>
      <c r="K15" s="70"/>
      <c r="L15" s="70"/>
      <c r="M15" s="70"/>
      <c r="N15" s="70"/>
      <c r="O15" s="70"/>
      <c r="P15" s="70"/>
      <c r="R15" s="232">
        <f>500000/4</f>
        <v>125000</v>
      </c>
      <c r="S15" s="230">
        <f t="shared" si="2"/>
        <v>37</v>
      </c>
      <c r="T15" s="233">
        <f t="shared" si="1"/>
        <v>46250</v>
      </c>
    </row>
    <row r="16" spans="1:20" x14ac:dyDescent="0.25">
      <c r="A16" s="55">
        <f>SUM(A15+1)</f>
        <v>5</v>
      </c>
      <c r="B16" s="3"/>
      <c r="C16" s="4" t="s">
        <v>107</v>
      </c>
      <c r="D16" s="53" t="str">
        <f>D15</f>
        <v>M3</v>
      </c>
      <c r="E16" s="5">
        <f t="shared" si="0"/>
        <v>102750</v>
      </c>
      <c r="F16" s="54"/>
      <c r="G16" s="70"/>
      <c r="H16" s="70"/>
      <c r="I16" s="70"/>
      <c r="J16" s="70"/>
      <c r="K16" s="70"/>
      <c r="L16" s="70"/>
      <c r="M16" s="70"/>
      <c r="N16" s="70"/>
      <c r="O16" s="70"/>
      <c r="P16" s="70"/>
      <c r="R16" s="232">
        <f>300000/4</f>
        <v>75000</v>
      </c>
      <c r="S16" s="230">
        <f t="shared" si="2"/>
        <v>37</v>
      </c>
      <c r="T16" s="233">
        <f t="shared" si="1"/>
        <v>27750</v>
      </c>
    </row>
    <row r="17" spans="1:22" x14ac:dyDescent="0.25">
      <c r="A17" s="56"/>
      <c r="B17" s="3"/>
      <c r="C17" s="4"/>
      <c r="D17" s="53"/>
      <c r="E17" s="5">
        <f t="shared" si="0"/>
        <v>0</v>
      </c>
      <c r="F17" s="54"/>
      <c r="G17" s="70"/>
      <c r="H17" s="70"/>
      <c r="I17" s="70"/>
      <c r="J17" s="70"/>
      <c r="K17" s="70"/>
      <c r="L17" s="70"/>
      <c r="M17" s="70"/>
      <c r="N17" s="70"/>
      <c r="O17" s="70"/>
      <c r="P17" s="70"/>
      <c r="R17" s="232"/>
      <c r="S17" s="230">
        <f t="shared" si="2"/>
        <v>37</v>
      </c>
      <c r="T17" s="233">
        <f t="shared" si="1"/>
        <v>0</v>
      </c>
    </row>
    <row r="18" spans="1:22" x14ac:dyDescent="0.25">
      <c r="A18" s="50" t="s">
        <v>21</v>
      </c>
      <c r="B18" s="51"/>
      <c r="C18" s="388" t="s">
        <v>374</v>
      </c>
      <c r="D18" s="53"/>
      <c r="E18" s="5">
        <f t="shared" si="0"/>
        <v>0</v>
      </c>
      <c r="F18" s="54"/>
      <c r="G18" s="70"/>
      <c r="H18" s="70"/>
      <c r="I18" s="70"/>
      <c r="J18" s="70"/>
      <c r="K18" s="70"/>
      <c r="L18" s="70"/>
      <c r="M18" s="70"/>
      <c r="N18" s="70"/>
      <c r="O18" s="70"/>
      <c r="P18" s="70"/>
      <c r="R18" s="232"/>
      <c r="S18" s="230">
        <f t="shared" si="2"/>
        <v>37</v>
      </c>
      <c r="T18" s="233">
        <f t="shared" si="1"/>
        <v>0</v>
      </c>
    </row>
    <row r="19" spans="1:22" x14ac:dyDescent="0.25">
      <c r="A19" s="55" t="s">
        <v>31</v>
      </c>
      <c r="B19" s="51"/>
      <c r="C19" s="4" t="s">
        <v>297</v>
      </c>
      <c r="D19" s="53" t="s">
        <v>23</v>
      </c>
      <c r="E19" s="5">
        <f t="shared" si="0"/>
        <v>95900</v>
      </c>
      <c r="F19" s="54"/>
      <c r="G19" s="70"/>
      <c r="H19" s="70"/>
      <c r="I19" s="70"/>
      <c r="J19" s="70"/>
      <c r="K19" s="70"/>
      <c r="L19" s="70"/>
      <c r="M19" s="70"/>
      <c r="N19" s="70"/>
      <c r="O19" s="70"/>
      <c r="P19" s="70"/>
      <c r="R19" s="232">
        <v>70000</v>
      </c>
      <c r="S19" s="230">
        <f t="shared" si="2"/>
        <v>37</v>
      </c>
      <c r="T19" s="233">
        <f t="shared" si="1"/>
        <v>25900</v>
      </c>
    </row>
    <row r="20" spans="1:22" x14ac:dyDescent="0.25">
      <c r="A20" s="55">
        <f>A19+1</f>
        <v>2</v>
      </c>
      <c r="B20" s="51"/>
      <c r="C20" s="4" t="s">
        <v>298</v>
      </c>
      <c r="D20" s="53" t="s">
        <v>23</v>
      </c>
      <c r="E20" s="5">
        <f t="shared" si="0"/>
        <v>82200</v>
      </c>
      <c r="F20" s="54"/>
      <c r="G20" s="70"/>
      <c r="H20" s="70"/>
      <c r="I20" s="70"/>
      <c r="J20" s="70"/>
      <c r="K20" s="70"/>
      <c r="L20" s="70"/>
      <c r="M20" s="70"/>
      <c r="N20" s="70"/>
      <c r="O20" s="70"/>
      <c r="P20" s="70"/>
      <c r="R20" s="232">
        <v>60000</v>
      </c>
      <c r="S20" s="230">
        <f t="shared" si="2"/>
        <v>37</v>
      </c>
      <c r="T20" s="233">
        <f t="shared" si="1"/>
        <v>22200</v>
      </c>
    </row>
    <row r="21" spans="1:22" x14ac:dyDescent="0.25">
      <c r="A21" s="55">
        <f>A20+1</f>
        <v>3</v>
      </c>
      <c r="B21" s="51"/>
      <c r="C21" s="4" t="s">
        <v>299</v>
      </c>
      <c r="D21" s="53" t="s">
        <v>23</v>
      </c>
      <c r="E21" s="5">
        <f t="shared" si="0"/>
        <v>123300</v>
      </c>
      <c r="F21" s="54"/>
      <c r="G21" s="70"/>
      <c r="H21" s="70"/>
      <c r="I21" s="70"/>
      <c r="J21" s="70"/>
      <c r="K21" s="70"/>
      <c r="L21" s="70"/>
      <c r="M21" s="70"/>
      <c r="N21" s="70"/>
      <c r="O21" s="70"/>
      <c r="P21" s="70"/>
      <c r="R21" s="232">
        <v>90000</v>
      </c>
      <c r="S21" s="230">
        <f t="shared" si="2"/>
        <v>37</v>
      </c>
      <c r="T21" s="233">
        <f t="shared" si="1"/>
        <v>33300</v>
      </c>
    </row>
    <row r="22" spans="1:22" x14ac:dyDescent="0.25">
      <c r="A22" s="55">
        <f>A21+1</f>
        <v>4</v>
      </c>
      <c r="B22" s="3"/>
      <c r="C22" s="397" t="s">
        <v>452</v>
      </c>
      <c r="D22" s="53" t="s">
        <v>22</v>
      </c>
      <c r="E22" s="5">
        <f t="shared" si="0"/>
        <v>1164.5</v>
      </c>
      <c r="F22" s="54"/>
      <c r="G22" s="70"/>
      <c r="H22" s="70"/>
      <c r="I22" s="70"/>
      <c r="J22" s="70"/>
      <c r="K22" s="70"/>
      <c r="L22" s="70"/>
      <c r="M22" s="70"/>
      <c r="N22" s="70"/>
      <c r="O22" s="70"/>
      <c r="P22" s="70"/>
      <c r="R22" s="232">
        <v>850</v>
      </c>
      <c r="S22" s="230">
        <f t="shared" si="2"/>
        <v>37</v>
      </c>
      <c r="T22" s="233">
        <f t="shared" si="1"/>
        <v>314.5</v>
      </c>
    </row>
    <row r="23" spans="1:22" x14ac:dyDescent="0.25">
      <c r="A23" s="56"/>
      <c r="B23" s="3"/>
      <c r="C23" s="4"/>
      <c r="D23" s="53"/>
      <c r="E23" s="5">
        <f t="shared" si="0"/>
        <v>0</v>
      </c>
      <c r="F23" s="54"/>
      <c r="G23" s="70"/>
      <c r="H23" s="70"/>
      <c r="I23" s="70"/>
      <c r="J23" s="70"/>
      <c r="K23" s="70"/>
      <c r="L23" s="70"/>
      <c r="M23" s="70"/>
      <c r="N23" s="70"/>
      <c r="O23" s="70"/>
      <c r="P23" s="70"/>
      <c r="R23" s="232"/>
      <c r="S23" s="230">
        <f t="shared" si="2"/>
        <v>37</v>
      </c>
      <c r="T23" s="233">
        <f>S23/100*R23</f>
        <v>0</v>
      </c>
    </row>
    <row r="24" spans="1:22" x14ac:dyDescent="0.25">
      <c r="A24" s="50" t="s">
        <v>25</v>
      </c>
      <c r="B24" s="51"/>
      <c r="C24" s="388" t="s">
        <v>375</v>
      </c>
      <c r="D24" s="53"/>
      <c r="E24" s="5">
        <f t="shared" si="0"/>
        <v>0</v>
      </c>
      <c r="F24" s="54"/>
      <c r="G24" s="70"/>
      <c r="H24" s="70"/>
      <c r="I24" s="70"/>
      <c r="J24" s="70"/>
      <c r="K24" s="70"/>
      <c r="L24" s="70"/>
      <c r="M24" s="70"/>
      <c r="N24" s="70"/>
      <c r="O24" s="70"/>
      <c r="P24" s="70"/>
      <c r="R24" s="232"/>
      <c r="S24" s="230">
        <f t="shared" si="2"/>
        <v>37</v>
      </c>
      <c r="T24" s="233">
        <f t="shared" si="1"/>
        <v>0</v>
      </c>
    </row>
    <row r="25" spans="1:22" x14ac:dyDescent="0.25">
      <c r="A25" s="55" t="s">
        <v>31</v>
      </c>
      <c r="B25" s="3"/>
      <c r="C25" s="4" t="s">
        <v>364</v>
      </c>
      <c r="D25" s="53" t="s">
        <v>17</v>
      </c>
      <c r="E25" s="5">
        <f t="shared" si="0"/>
        <v>19180</v>
      </c>
      <c r="F25" s="54"/>
      <c r="G25" s="70"/>
      <c r="H25" s="70"/>
      <c r="I25" s="70"/>
      <c r="J25" s="70"/>
      <c r="K25" s="70"/>
      <c r="L25" s="70"/>
      <c r="M25" s="70"/>
      <c r="N25" s="70"/>
      <c r="O25" s="70"/>
      <c r="P25" s="70"/>
      <c r="R25" s="232">
        <v>14000</v>
      </c>
      <c r="S25" s="230">
        <f t="shared" si="2"/>
        <v>37</v>
      </c>
      <c r="T25" s="233">
        <f t="shared" si="1"/>
        <v>5180</v>
      </c>
    </row>
    <row r="26" spans="1:22" x14ac:dyDescent="0.25">
      <c r="A26" s="55" t="s">
        <v>32</v>
      </c>
      <c r="B26" s="3"/>
      <c r="C26" s="387" t="s">
        <v>365</v>
      </c>
      <c r="D26" s="2" t="s">
        <v>17</v>
      </c>
      <c r="E26" s="5">
        <f t="shared" si="0"/>
        <v>34250</v>
      </c>
      <c r="F26" s="54"/>
      <c r="G26" s="70"/>
      <c r="H26" s="70"/>
      <c r="I26" s="70"/>
      <c r="J26" s="70"/>
      <c r="K26" s="70"/>
      <c r="L26" s="70"/>
      <c r="M26" s="70"/>
      <c r="N26" s="70"/>
      <c r="O26" s="70"/>
      <c r="P26" s="70"/>
      <c r="R26" s="232">
        <v>25000</v>
      </c>
      <c r="S26" s="230">
        <f t="shared" si="2"/>
        <v>37</v>
      </c>
      <c r="T26" s="233">
        <f t="shared" si="1"/>
        <v>9250</v>
      </c>
      <c r="V26" s="234"/>
    </row>
    <row r="27" spans="1:22" x14ac:dyDescent="0.25">
      <c r="A27" s="55" t="s">
        <v>87</v>
      </c>
      <c r="B27" s="3"/>
      <c r="C27" s="3" t="s">
        <v>265</v>
      </c>
      <c r="D27" s="2" t="s">
        <v>17</v>
      </c>
      <c r="E27" s="5">
        <f t="shared" si="0"/>
        <v>27400</v>
      </c>
      <c r="F27" s="54"/>
      <c r="G27" s="70"/>
      <c r="H27" s="70"/>
      <c r="I27" s="70"/>
      <c r="J27" s="70"/>
      <c r="K27" s="70"/>
      <c r="L27" s="70"/>
      <c r="M27" s="70"/>
      <c r="N27" s="70"/>
      <c r="O27" s="70"/>
      <c r="P27" s="70"/>
      <c r="R27" s="232">
        <v>20000</v>
      </c>
      <c r="S27" s="230">
        <f t="shared" si="2"/>
        <v>37</v>
      </c>
      <c r="T27" s="233">
        <f t="shared" si="1"/>
        <v>7400</v>
      </c>
      <c r="V27" s="234"/>
    </row>
    <row r="28" spans="1:22" x14ac:dyDescent="0.25">
      <c r="A28" s="55" t="s">
        <v>88</v>
      </c>
      <c r="B28" s="3"/>
      <c r="C28" s="3" t="s">
        <v>329</v>
      </c>
      <c r="D28" s="2" t="str">
        <f>D27</f>
        <v>Kg</v>
      </c>
      <c r="E28" s="5">
        <f t="shared" si="0"/>
        <v>47950</v>
      </c>
      <c r="F28" s="54"/>
      <c r="G28" s="70"/>
      <c r="H28" s="70"/>
      <c r="I28" s="70"/>
      <c r="J28" s="70"/>
      <c r="K28" s="70"/>
      <c r="L28" s="70"/>
      <c r="M28" s="70"/>
      <c r="N28" s="70"/>
      <c r="O28" s="70"/>
      <c r="P28" s="70"/>
      <c r="R28" s="232">
        <v>35000</v>
      </c>
      <c r="S28" s="230">
        <f t="shared" si="2"/>
        <v>37</v>
      </c>
      <c r="T28" s="233">
        <f t="shared" si="1"/>
        <v>12950</v>
      </c>
    </row>
    <row r="29" spans="1:22" x14ac:dyDescent="0.25">
      <c r="A29" s="55" t="s">
        <v>89</v>
      </c>
      <c r="B29" s="84"/>
      <c r="C29" s="84" t="s">
        <v>366</v>
      </c>
      <c r="D29" s="83" t="s">
        <v>58</v>
      </c>
      <c r="E29" s="5">
        <f t="shared" si="0"/>
        <v>21920</v>
      </c>
      <c r="F29" s="54"/>
      <c r="G29" s="70"/>
      <c r="H29" s="70"/>
      <c r="I29" s="70"/>
      <c r="J29" s="70"/>
      <c r="K29" s="70"/>
      <c r="L29" s="70"/>
      <c r="M29" s="70"/>
      <c r="N29" s="70"/>
      <c r="O29" s="70"/>
      <c r="P29" s="70"/>
      <c r="R29" s="235">
        <v>16000</v>
      </c>
      <c r="S29" s="230">
        <f t="shared" si="2"/>
        <v>37</v>
      </c>
      <c r="T29" s="233">
        <f t="shared" si="1"/>
        <v>5920</v>
      </c>
    </row>
    <row r="30" spans="1:22" x14ac:dyDescent="0.25">
      <c r="A30" s="55" t="s">
        <v>90</v>
      </c>
      <c r="B30" s="84"/>
      <c r="C30" s="84" t="s">
        <v>367</v>
      </c>
      <c r="D30" s="83" t="s">
        <v>58</v>
      </c>
      <c r="E30" s="5">
        <f t="shared" si="0"/>
        <v>23153</v>
      </c>
      <c r="F30" s="54"/>
      <c r="G30" s="70"/>
      <c r="H30" s="70"/>
      <c r="I30" s="70"/>
      <c r="J30" s="70"/>
      <c r="K30" s="70"/>
      <c r="L30" s="70"/>
      <c r="M30" s="70"/>
      <c r="N30" s="70"/>
      <c r="O30" s="70"/>
      <c r="P30" s="70"/>
      <c r="R30" s="235">
        <v>16900</v>
      </c>
      <c r="S30" s="230">
        <f t="shared" si="2"/>
        <v>37</v>
      </c>
      <c r="T30" s="233">
        <f t="shared" si="1"/>
        <v>6253</v>
      </c>
    </row>
    <row r="31" spans="1:22" x14ac:dyDescent="0.25">
      <c r="A31" s="55" t="s">
        <v>91</v>
      </c>
      <c r="B31" s="84"/>
      <c r="C31" s="84" t="s">
        <v>368</v>
      </c>
      <c r="D31" s="83" t="s">
        <v>58</v>
      </c>
      <c r="E31" s="5">
        <f t="shared" si="0"/>
        <v>24660</v>
      </c>
      <c r="F31" s="54"/>
      <c r="G31" s="70"/>
      <c r="H31" s="70"/>
      <c r="I31" s="70"/>
      <c r="J31" s="70"/>
      <c r="K31" s="70"/>
      <c r="L31" s="70"/>
      <c r="M31" s="70"/>
      <c r="N31" s="70"/>
      <c r="O31" s="70"/>
      <c r="P31" s="70"/>
      <c r="R31" s="235">
        <v>18000</v>
      </c>
      <c r="S31" s="230">
        <f t="shared" si="2"/>
        <v>37</v>
      </c>
      <c r="T31" s="233">
        <f t="shared" si="1"/>
        <v>6660</v>
      </c>
    </row>
    <row r="32" spans="1:22" x14ac:dyDescent="0.25">
      <c r="A32" s="55" t="s">
        <v>109</v>
      </c>
      <c r="B32" s="84"/>
      <c r="C32" s="84" t="s">
        <v>369</v>
      </c>
      <c r="D32" s="83" t="s">
        <v>23</v>
      </c>
      <c r="E32" s="5">
        <f t="shared" si="0"/>
        <v>363050</v>
      </c>
      <c r="F32" s="54"/>
      <c r="G32" s="70"/>
      <c r="H32" s="70"/>
      <c r="I32" s="70"/>
      <c r="J32" s="70"/>
      <c r="K32" s="70"/>
      <c r="L32" s="70"/>
      <c r="M32" s="70"/>
      <c r="N32" s="70"/>
      <c r="O32" s="70"/>
      <c r="P32" s="70"/>
      <c r="R32" s="235">
        <v>265000</v>
      </c>
      <c r="S32" s="230">
        <f t="shared" si="2"/>
        <v>37</v>
      </c>
      <c r="T32" s="233">
        <f t="shared" si="1"/>
        <v>98050</v>
      </c>
    </row>
    <row r="33" spans="1:23" x14ac:dyDescent="0.25">
      <c r="A33" s="55" t="s">
        <v>110</v>
      </c>
      <c r="B33" s="84"/>
      <c r="C33" s="84" t="s">
        <v>327</v>
      </c>
      <c r="D33" s="83" t="str">
        <f>D32</f>
        <v>M2</v>
      </c>
      <c r="E33" s="5">
        <f t="shared" si="0"/>
        <v>191800</v>
      </c>
      <c r="F33" s="54"/>
      <c r="G33" s="70"/>
      <c r="H33" s="70"/>
      <c r="I33" s="70"/>
      <c r="J33" s="70"/>
      <c r="K33" s="70"/>
      <c r="L33" s="70"/>
      <c r="M33" s="70"/>
      <c r="N33" s="70"/>
      <c r="O33" s="70"/>
      <c r="P33" s="70"/>
      <c r="R33" s="235">
        <v>140000</v>
      </c>
      <c r="S33" s="230">
        <f t="shared" si="2"/>
        <v>37</v>
      </c>
      <c r="T33" s="233">
        <f t="shared" si="1"/>
        <v>51800</v>
      </c>
    </row>
    <row r="34" spans="1:23" x14ac:dyDescent="0.25">
      <c r="A34" s="55" t="s">
        <v>111</v>
      </c>
      <c r="B34" s="84"/>
      <c r="C34" s="84" t="s">
        <v>136</v>
      </c>
      <c r="D34" s="83" t="s">
        <v>37</v>
      </c>
      <c r="E34" s="5">
        <f t="shared" si="0"/>
        <v>150700</v>
      </c>
      <c r="F34" s="54"/>
      <c r="G34" s="70"/>
      <c r="H34" s="70"/>
      <c r="I34" s="70"/>
      <c r="J34" s="70"/>
      <c r="K34" s="70"/>
      <c r="L34" s="70"/>
      <c r="M34" s="70"/>
      <c r="N34" s="70"/>
      <c r="O34" s="70"/>
      <c r="P34" s="70"/>
      <c r="R34" s="235">
        <v>110000</v>
      </c>
      <c r="S34" s="230">
        <f t="shared" si="2"/>
        <v>37</v>
      </c>
      <c r="T34" s="233">
        <f>S34/100*R34</f>
        <v>40700</v>
      </c>
    </row>
    <row r="35" spans="1:23" x14ac:dyDescent="0.25">
      <c r="A35" s="55" t="s">
        <v>112</v>
      </c>
      <c r="B35" s="84"/>
      <c r="C35" s="84" t="s">
        <v>370</v>
      </c>
      <c r="D35" s="83" t="s">
        <v>23</v>
      </c>
      <c r="E35" s="5">
        <f t="shared" si="0"/>
        <v>109600</v>
      </c>
      <c r="F35" s="54"/>
      <c r="G35" s="70"/>
      <c r="H35" s="70"/>
      <c r="I35" s="70"/>
      <c r="J35" s="70"/>
      <c r="K35" s="70"/>
      <c r="L35" s="70"/>
      <c r="M35" s="70"/>
      <c r="N35" s="70"/>
      <c r="O35" s="70"/>
      <c r="P35" s="70"/>
      <c r="R35" s="235">
        <v>80000</v>
      </c>
      <c r="S35" s="230">
        <f>S33</f>
        <v>37</v>
      </c>
      <c r="T35" s="233">
        <f t="shared" si="1"/>
        <v>29600</v>
      </c>
    </row>
    <row r="36" spans="1:23" x14ac:dyDescent="0.25">
      <c r="A36" s="55" t="s">
        <v>125</v>
      </c>
      <c r="B36" s="84"/>
      <c r="C36" s="84" t="s">
        <v>371</v>
      </c>
      <c r="D36" s="83" t="s">
        <v>37</v>
      </c>
      <c r="E36" s="5">
        <f t="shared" si="0"/>
        <v>41100</v>
      </c>
      <c r="F36" s="54"/>
      <c r="G36" s="70"/>
      <c r="H36" s="70"/>
      <c r="I36" s="70"/>
      <c r="J36" s="70"/>
      <c r="K36" s="70"/>
      <c r="L36" s="70"/>
      <c r="M36" s="70"/>
      <c r="N36" s="70"/>
      <c r="O36" s="70"/>
      <c r="P36" s="70"/>
      <c r="R36" s="235">
        <v>30000</v>
      </c>
      <c r="S36" s="230">
        <f t="shared" si="2"/>
        <v>37</v>
      </c>
      <c r="T36" s="233">
        <f t="shared" si="1"/>
        <v>11100</v>
      </c>
      <c r="W36" s="81"/>
    </row>
    <row r="37" spans="1:23" x14ac:dyDescent="0.25">
      <c r="A37" s="55" t="s">
        <v>130</v>
      </c>
      <c r="B37" s="84"/>
      <c r="C37" s="84" t="s">
        <v>332</v>
      </c>
      <c r="D37" s="83" t="str">
        <f>D36</f>
        <v>M'</v>
      </c>
      <c r="E37" s="5">
        <f t="shared" si="0"/>
        <v>9247.5</v>
      </c>
      <c r="F37" s="54"/>
      <c r="G37" s="70"/>
      <c r="H37" s="70"/>
      <c r="I37" s="70"/>
      <c r="J37" s="70"/>
      <c r="K37" s="70"/>
      <c r="L37" s="70"/>
      <c r="M37" s="70"/>
      <c r="N37" s="70"/>
      <c r="O37" s="70"/>
      <c r="P37" s="70"/>
      <c r="R37" s="232">
        <f>27000/4</f>
        <v>6750</v>
      </c>
      <c r="S37" s="230">
        <f t="shared" si="2"/>
        <v>37</v>
      </c>
      <c r="T37" s="233">
        <f>S37/100*R37</f>
        <v>2497.5</v>
      </c>
    </row>
    <row r="38" spans="1:23" x14ac:dyDescent="0.25">
      <c r="A38" s="55">
        <v>14</v>
      </c>
      <c r="B38" s="84"/>
      <c r="C38" s="84" t="s">
        <v>372</v>
      </c>
      <c r="D38" s="83" t="str">
        <f>D37</f>
        <v>M'</v>
      </c>
      <c r="E38" s="5">
        <f t="shared" si="0"/>
        <v>959</v>
      </c>
      <c r="F38" s="54"/>
      <c r="G38" s="70"/>
      <c r="H38" s="70"/>
      <c r="I38" s="70"/>
      <c r="J38" s="70"/>
      <c r="K38" s="70"/>
      <c r="L38" s="70"/>
      <c r="M38" s="70"/>
      <c r="N38" s="70"/>
      <c r="O38" s="70"/>
      <c r="P38" s="70"/>
      <c r="R38" s="232">
        <v>700</v>
      </c>
      <c r="S38" s="230">
        <f t="shared" si="2"/>
        <v>37</v>
      </c>
      <c r="T38" s="233">
        <f>S38/100*R38</f>
        <v>259</v>
      </c>
    </row>
    <row r="39" spans="1:23" x14ac:dyDescent="0.25">
      <c r="A39" s="56"/>
      <c r="B39" s="3"/>
      <c r="C39" s="3"/>
      <c r="D39" s="2"/>
      <c r="E39" s="5">
        <f t="shared" si="0"/>
        <v>0</v>
      </c>
      <c r="F39" s="54"/>
      <c r="G39" s="70"/>
      <c r="H39" s="70"/>
      <c r="I39" s="70"/>
      <c r="J39" s="70"/>
      <c r="K39" s="70"/>
      <c r="L39" s="70"/>
      <c r="M39" s="70"/>
      <c r="N39" s="70"/>
      <c r="O39" s="70"/>
      <c r="P39" s="70"/>
      <c r="R39" s="232"/>
      <c r="S39" s="230">
        <f>S36</f>
        <v>37</v>
      </c>
      <c r="T39" s="233">
        <f t="shared" si="1"/>
        <v>0</v>
      </c>
    </row>
    <row r="40" spans="1:23" x14ac:dyDescent="0.25">
      <c r="A40" s="57" t="s">
        <v>34</v>
      </c>
      <c r="B40" s="58"/>
      <c r="C40" s="59" t="s">
        <v>442</v>
      </c>
      <c r="D40" s="60"/>
      <c r="E40" s="5">
        <f t="shared" si="0"/>
        <v>0</v>
      </c>
      <c r="F40" s="61"/>
      <c r="G40" s="70"/>
      <c r="H40" s="70"/>
      <c r="I40" s="70"/>
      <c r="J40" s="70"/>
      <c r="K40" s="70"/>
      <c r="L40" s="70"/>
      <c r="M40" s="70"/>
      <c r="N40" s="70"/>
      <c r="O40" s="70"/>
      <c r="P40" s="70"/>
      <c r="R40" s="232"/>
      <c r="S40" s="230">
        <f t="shared" si="2"/>
        <v>37</v>
      </c>
      <c r="T40" s="233">
        <f t="shared" si="1"/>
        <v>0</v>
      </c>
    </row>
    <row r="41" spans="1:23" x14ac:dyDescent="0.25">
      <c r="A41" s="83">
        <v>1</v>
      </c>
      <c r="B41" s="84"/>
      <c r="C41" s="84" t="s">
        <v>434</v>
      </c>
      <c r="D41" s="83" t="s">
        <v>62</v>
      </c>
      <c r="E41" s="5">
        <f t="shared" si="0"/>
        <v>4795000</v>
      </c>
      <c r="F41" s="82"/>
      <c r="G41" s="70"/>
      <c r="H41" s="70"/>
      <c r="I41" s="70"/>
      <c r="J41" s="70"/>
      <c r="K41" s="70"/>
      <c r="L41" s="70"/>
      <c r="M41" s="70"/>
      <c r="N41" s="70"/>
      <c r="O41" s="70"/>
      <c r="P41" s="70"/>
      <c r="R41" s="235">
        <v>3500000</v>
      </c>
      <c r="S41" s="230">
        <f t="shared" si="2"/>
        <v>37</v>
      </c>
      <c r="T41" s="233">
        <f t="shared" si="1"/>
        <v>1295000</v>
      </c>
    </row>
    <row r="42" spans="1:23" x14ac:dyDescent="0.25">
      <c r="A42" s="83">
        <f>A41+1</f>
        <v>2</v>
      </c>
      <c r="B42" s="84"/>
      <c r="C42" s="84" t="s">
        <v>84</v>
      </c>
      <c r="D42" s="83" t="s">
        <v>62</v>
      </c>
      <c r="E42" s="5">
        <f t="shared" si="0"/>
        <v>3425000</v>
      </c>
      <c r="F42" s="54"/>
      <c r="G42" s="70"/>
      <c r="H42" s="70"/>
      <c r="I42" s="70"/>
      <c r="J42" s="70"/>
      <c r="K42" s="70"/>
      <c r="L42" s="70"/>
      <c r="M42" s="70"/>
      <c r="N42" s="70"/>
      <c r="O42" s="70"/>
      <c r="P42" s="70"/>
      <c r="R42" s="235">
        <v>2500000</v>
      </c>
      <c r="S42" s="230">
        <f t="shared" si="2"/>
        <v>37</v>
      </c>
      <c r="T42" s="233">
        <f t="shared" si="1"/>
        <v>925000</v>
      </c>
    </row>
    <row r="43" spans="1:23" x14ac:dyDescent="0.25">
      <c r="A43" s="83">
        <f t="shared" ref="A43:A69" si="3">A42+1</f>
        <v>3</v>
      </c>
      <c r="B43" s="85"/>
      <c r="C43" s="85" t="s">
        <v>101</v>
      </c>
      <c r="D43" s="83" t="s">
        <v>83</v>
      </c>
      <c r="E43" s="5">
        <f t="shared" si="0"/>
        <v>11987.500000000002</v>
      </c>
      <c r="F43" s="54"/>
      <c r="G43" s="70"/>
      <c r="H43" s="70"/>
      <c r="I43" s="70"/>
      <c r="J43" s="70"/>
      <c r="K43" s="70"/>
      <c r="L43" s="70"/>
      <c r="M43" s="70"/>
      <c r="N43" s="70"/>
      <c r="O43" s="70"/>
      <c r="P43" s="70"/>
      <c r="R43" s="235">
        <f>0.05*0.07*R42</f>
        <v>8750.0000000000018</v>
      </c>
      <c r="S43" s="230">
        <f t="shared" si="2"/>
        <v>37</v>
      </c>
      <c r="T43" s="233">
        <f t="shared" si="1"/>
        <v>3237.5000000000005</v>
      </c>
    </row>
    <row r="44" spans="1:23" x14ac:dyDescent="0.25">
      <c r="A44" s="83">
        <f t="shared" si="3"/>
        <v>4</v>
      </c>
      <c r="B44" s="84"/>
      <c r="C44" s="84" t="s">
        <v>376</v>
      </c>
      <c r="D44" s="83" t="s">
        <v>62</v>
      </c>
      <c r="E44" s="5">
        <f t="shared" si="0"/>
        <v>4110000</v>
      </c>
      <c r="F44" s="54"/>
      <c r="G44" s="70"/>
      <c r="H44" s="70"/>
      <c r="I44" s="70"/>
      <c r="J44" s="70"/>
      <c r="K44" s="70"/>
      <c r="L44" s="70"/>
      <c r="M44" s="70"/>
      <c r="N44" s="70"/>
      <c r="O44" s="70"/>
      <c r="P44" s="70"/>
      <c r="R44" s="235">
        <v>3000000</v>
      </c>
      <c r="S44" s="230">
        <f t="shared" si="2"/>
        <v>37</v>
      </c>
      <c r="T44" s="233">
        <f t="shared" si="1"/>
        <v>1110000</v>
      </c>
    </row>
    <row r="45" spans="1:23" x14ac:dyDescent="0.25">
      <c r="A45" s="83">
        <f t="shared" si="3"/>
        <v>5</v>
      </c>
      <c r="B45" s="86"/>
      <c r="C45" s="86" t="s">
        <v>377</v>
      </c>
      <c r="D45" s="83" t="s">
        <v>85</v>
      </c>
      <c r="E45" s="5">
        <f t="shared" si="0"/>
        <v>106860</v>
      </c>
      <c r="F45" s="54"/>
      <c r="G45" s="70"/>
      <c r="H45" s="70"/>
      <c r="I45" s="70"/>
      <c r="J45" s="70"/>
      <c r="K45" s="70"/>
      <c r="L45" s="70"/>
      <c r="M45" s="70"/>
      <c r="N45" s="70"/>
      <c r="O45" s="70"/>
      <c r="P45" s="70"/>
      <c r="R45" s="235">
        <f>19500*4</f>
        <v>78000</v>
      </c>
      <c r="S45" s="230">
        <f t="shared" si="2"/>
        <v>37</v>
      </c>
      <c r="T45" s="233">
        <f t="shared" si="1"/>
        <v>28860</v>
      </c>
    </row>
    <row r="46" spans="1:23" x14ac:dyDescent="0.25">
      <c r="A46" s="83">
        <f t="shared" si="3"/>
        <v>6</v>
      </c>
      <c r="B46" s="86"/>
      <c r="C46" s="86" t="s">
        <v>378</v>
      </c>
      <c r="D46" s="83" t="s">
        <v>62</v>
      </c>
      <c r="E46" s="5">
        <f t="shared" si="0"/>
        <v>3425000</v>
      </c>
      <c r="F46" s="54"/>
      <c r="G46" s="70"/>
      <c r="H46" s="70"/>
      <c r="I46" s="70"/>
      <c r="J46" s="70"/>
      <c r="K46" s="70"/>
      <c r="L46" s="70"/>
      <c r="M46" s="70"/>
      <c r="N46" s="70"/>
      <c r="O46" s="70"/>
      <c r="P46" s="70"/>
      <c r="R46" s="235">
        <f>R42</f>
        <v>2500000</v>
      </c>
      <c r="S46" s="230">
        <f t="shared" si="2"/>
        <v>37</v>
      </c>
      <c r="T46" s="233">
        <f t="shared" si="1"/>
        <v>925000</v>
      </c>
    </row>
    <row r="47" spans="1:23" x14ac:dyDescent="0.25">
      <c r="A47" s="83">
        <f t="shared" si="3"/>
        <v>7</v>
      </c>
      <c r="B47" s="84"/>
      <c r="C47" s="84" t="s">
        <v>379</v>
      </c>
      <c r="D47" s="83" t="s">
        <v>62</v>
      </c>
      <c r="E47" s="5">
        <f t="shared" si="0"/>
        <v>4110000</v>
      </c>
      <c r="F47" s="54"/>
      <c r="G47" s="70"/>
      <c r="H47" s="70"/>
      <c r="I47" s="70"/>
      <c r="J47" s="70"/>
      <c r="K47" s="70"/>
      <c r="L47" s="70"/>
      <c r="M47" s="70"/>
      <c r="N47" s="70"/>
      <c r="O47" s="70"/>
      <c r="P47" s="70"/>
      <c r="R47" s="235">
        <f>R44</f>
        <v>3000000</v>
      </c>
      <c r="S47" s="230">
        <f t="shared" si="2"/>
        <v>37</v>
      </c>
      <c r="T47" s="233">
        <f t="shared" si="1"/>
        <v>1110000</v>
      </c>
    </row>
    <row r="48" spans="1:23" x14ac:dyDescent="0.25">
      <c r="A48" s="83">
        <f t="shared" si="3"/>
        <v>8</v>
      </c>
      <c r="B48" s="84"/>
      <c r="C48" s="84" t="s">
        <v>481</v>
      </c>
      <c r="D48" s="83" t="s">
        <v>37</v>
      </c>
      <c r="E48" s="5">
        <f t="shared" si="0"/>
        <v>34250</v>
      </c>
      <c r="F48" s="54"/>
      <c r="G48" s="70"/>
      <c r="H48" s="70"/>
      <c r="I48" s="70"/>
      <c r="J48" s="70"/>
      <c r="K48" s="70"/>
      <c r="L48" s="70"/>
      <c r="M48" s="70"/>
      <c r="N48" s="70"/>
      <c r="O48" s="70"/>
      <c r="P48" s="70"/>
      <c r="R48" s="235">
        <v>25000</v>
      </c>
      <c r="S48" s="230">
        <f t="shared" si="2"/>
        <v>37</v>
      </c>
      <c r="T48" s="233">
        <f t="shared" si="1"/>
        <v>9250</v>
      </c>
      <c r="W48" s="81"/>
    </row>
    <row r="49" spans="1:20" x14ac:dyDescent="0.25">
      <c r="A49" s="83">
        <f t="shared" si="3"/>
        <v>9</v>
      </c>
      <c r="B49" s="85"/>
      <c r="C49" s="84" t="s">
        <v>380</v>
      </c>
      <c r="D49" s="83" t="s">
        <v>62</v>
      </c>
      <c r="E49" s="5">
        <f t="shared" si="0"/>
        <v>4110000</v>
      </c>
      <c r="F49" s="54"/>
      <c r="G49" s="70"/>
      <c r="H49" s="70"/>
      <c r="I49" s="70"/>
      <c r="J49" s="70"/>
      <c r="K49" s="70"/>
      <c r="L49" s="70"/>
      <c r="M49" s="70"/>
      <c r="N49" s="70"/>
      <c r="O49" s="70"/>
      <c r="P49" s="70"/>
      <c r="R49" s="235">
        <f>R47</f>
        <v>3000000</v>
      </c>
      <c r="S49" s="230">
        <f t="shared" si="2"/>
        <v>37</v>
      </c>
      <c r="T49" s="233">
        <f t="shared" si="1"/>
        <v>1110000</v>
      </c>
    </row>
    <row r="50" spans="1:20" x14ac:dyDescent="0.25">
      <c r="A50" s="83">
        <f t="shared" si="3"/>
        <v>10</v>
      </c>
      <c r="B50" s="84"/>
      <c r="C50" s="84" t="s">
        <v>86</v>
      </c>
      <c r="D50" s="83" t="s">
        <v>76</v>
      </c>
      <c r="E50" s="5">
        <f t="shared" si="0"/>
        <v>171250</v>
      </c>
      <c r="F50" s="54"/>
      <c r="G50" s="70"/>
      <c r="H50" s="70"/>
      <c r="I50" s="70"/>
      <c r="J50" s="70"/>
      <c r="K50" s="70"/>
      <c r="L50" s="70"/>
      <c r="M50" s="70"/>
      <c r="N50" s="70"/>
      <c r="O50" s="70"/>
      <c r="P50" s="70"/>
      <c r="R50" s="235">
        <v>125000</v>
      </c>
      <c r="S50" s="230">
        <f t="shared" si="2"/>
        <v>37</v>
      </c>
      <c r="T50" s="233">
        <f t="shared" si="1"/>
        <v>46250</v>
      </c>
    </row>
    <row r="51" spans="1:20" x14ac:dyDescent="0.25">
      <c r="A51" s="83">
        <f t="shared" si="3"/>
        <v>11</v>
      </c>
      <c r="B51" s="84"/>
      <c r="C51" s="84" t="s">
        <v>435</v>
      </c>
      <c r="D51" s="83" t="s">
        <v>83</v>
      </c>
      <c r="E51" s="5">
        <f t="shared" si="0"/>
        <v>10275</v>
      </c>
      <c r="F51" s="54"/>
      <c r="G51" s="70"/>
      <c r="H51" s="70"/>
      <c r="I51" s="70"/>
      <c r="J51" s="70"/>
      <c r="K51" s="70"/>
      <c r="L51" s="70"/>
      <c r="M51" s="70"/>
      <c r="N51" s="70"/>
      <c r="O51" s="70"/>
      <c r="P51" s="70"/>
      <c r="R51" s="235">
        <v>7500</v>
      </c>
      <c r="S51" s="230">
        <f t="shared" si="2"/>
        <v>37</v>
      </c>
      <c r="T51" s="233">
        <f t="shared" si="1"/>
        <v>2775</v>
      </c>
    </row>
    <row r="52" spans="1:20" x14ac:dyDescent="0.25">
      <c r="A52" s="83">
        <f t="shared" si="3"/>
        <v>12</v>
      </c>
      <c r="B52" s="84"/>
      <c r="C52" s="84" t="s">
        <v>476</v>
      </c>
      <c r="D52" s="83" t="s">
        <v>76</v>
      </c>
      <c r="E52" s="5">
        <f t="shared" si="0"/>
        <v>92475</v>
      </c>
      <c r="F52" s="54"/>
      <c r="G52" s="70"/>
      <c r="H52" s="70"/>
      <c r="I52" s="70"/>
      <c r="J52" s="70"/>
      <c r="K52" s="70"/>
      <c r="L52" s="70"/>
      <c r="M52" s="70"/>
      <c r="N52" s="70"/>
      <c r="O52" s="70"/>
      <c r="P52" s="70"/>
      <c r="R52" s="235">
        <v>67500</v>
      </c>
      <c r="S52" s="230">
        <f t="shared" si="2"/>
        <v>37</v>
      </c>
      <c r="T52" s="233">
        <f t="shared" si="1"/>
        <v>24975</v>
      </c>
    </row>
    <row r="53" spans="1:20" x14ac:dyDescent="0.25">
      <c r="A53" s="83">
        <f t="shared" si="3"/>
        <v>13</v>
      </c>
      <c r="B53" s="84"/>
      <c r="C53" s="84" t="s">
        <v>436</v>
      </c>
      <c r="D53" s="83" t="s">
        <v>78</v>
      </c>
      <c r="E53" s="5">
        <f t="shared" si="0"/>
        <v>13700</v>
      </c>
      <c r="F53" s="54"/>
      <c r="G53" s="70"/>
      <c r="H53" s="70"/>
      <c r="I53" s="70"/>
      <c r="J53" s="70"/>
      <c r="K53" s="70"/>
      <c r="L53" s="70"/>
      <c r="M53" s="70"/>
      <c r="N53" s="70"/>
      <c r="O53" s="70"/>
      <c r="P53" s="70"/>
      <c r="R53" s="235">
        <v>10000</v>
      </c>
      <c r="S53" s="230">
        <f t="shared" si="2"/>
        <v>37</v>
      </c>
      <c r="T53" s="233">
        <f t="shared" si="1"/>
        <v>3700</v>
      </c>
    </row>
    <row r="54" spans="1:20" x14ac:dyDescent="0.25">
      <c r="A54" s="83">
        <f t="shared" si="3"/>
        <v>14</v>
      </c>
      <c r="B54" s="84"/>
      <c r="C54" s="84" t="s">
        <v>437</v>
      </c>
      <c r="D54" s="83" t="s">
        <v>58</v>
      </c>
      <c r="E54" s="5">
        <f t="shared" si="0"/>
        <v>34250</v>
      </c>
      <c r="F54" s="54"/>
      <c r="G54" s="70"/>
      <c r="H54" s="70"/>
      <c r="I54" s="70"/>
      <c r="J54" s="70"/>
      <c r="K54" s="70"/>
      <c r="L54" s="70"/>
      <c r="M54" s="70"/>
      <c r="N54" s="70"/>
      <c r="O54" s="70"/>
      <c r="P54" s="70"/>
      <c r="R54" s="235">
        <v>25000</v>
      </c>
      <c r="S54" s="230">
        <f t="shared" si="2"/>
        <v>37</v>
      </c>
      <c r="T54" s="233">
        <f t="shared" si="1"/>
        <v>9250</v>
      </c>
    </row>
    <row r="55" spans="1:20" x14ac:dyDescent="0.25">
      <c r="A55" s="83">
        <f t="shared" si="3"/>
        <v>15</v>
      </c>
      <c r="B55" s="84"/>
      <c r="C55" s="84" t="s">
        <v>79</v>
      </c>
      <c r="D55" s="83" t="s">
        <v>58</v>
      </c>
      <c r="E55" s="5">
        <f t="shared" si="0"/>
        <v>10960</v>
      </c>
      <c r="F55" s="54"/>
      <c r="G55" s="70"/>
      <c r="H55" s="70"/>
      <c r="I55" s="70"/>
      <c r="J55" s="70"/>
      <c r="K55" s="70"/>
      <c r="L55" s="70"/>
      <c r="M55" s="70"/>
      <c r="N55" s="70"/>
      <c r="O55" s="70"/>
      <c r="P55" s="70"/>
      <c r="R55" s="235">
        <v>8000</v>
      </c>
      <c r="S55" s="230">
        <f t="shared" si="2"/>
        <v>37</v>
      </c>
      <c r="T55" s="233">
        <f t="shared" si="1"/>
        <v>2960</v>
      </c>
    </row>
    <row r="56" spans="1:20" x14ac:dyDescent="0.25">
      <c r="A56" s="83">
        <f t="shared" si="3"/>
        <v>16</v>
      </c>
      <c r="B56" s="84"/>
      <c r="C56" s="84" t="s">
        <v>477</v>
      </c>
      <c r="D56" s="83" t="s">
        <v>83</v>
      </c>
      <c r="E56" s="5">
        <f t="shared" si="0"/>
        <v>6576</v>
      </c>
      <c r="F56" s="54"/>
      <c r="G56" s="70"/>
      <c r="H56" s="70"/>
      <c r="I56" s="70"/>
      <c r="J56" s="70"/>
      <c r="K56" s="70"/>
      <c r="L56" s="70"/>
      <c r="M56" s="70"/>
      <c r="N56" s="70"/>
      <c r="O56" s="70"/>
      <c r="P56" s="70"/>
      <c r="R56" s="235">
        <f>12000/2.5</f>
        <v>4800</v>
      </c>
      <c r="S56" s="230">
        <f t="shared" si="2"/>
        <v>37</v>
      </c>
      <c r="T56" s="233">
        <f t="shared" si="1"/>
        <v>1776</v>
      </c>
    </row>
    <row r="57" spans="1:20" x14ac:dyDescent="0.25">
      <c r="A57" s="83">
        <f t="shared" si="3"/>
        <v>17</v>
      </c>
      <c r="B57" s="3"/>
      <c r="C57" s="397" t="s">
        <v>438</v>
      </c>
      <c r="D57" s="53" t="s">
        <v>24</v>
      </c>
      <c r="E57" s="5">
        <f t="shared" si="0"/>
        <v>171250</v>
      </c>
      <c r="F57" s="54"/>
      <c r="G57" s="70"/>
      <c r="H57" s="70"/>
      <c r="I57" s="70"/>
      <c r="J57" s="70"/>
      <c r="K57" s="70"/>
      <c r="L57" s="70"/>
      <c r="M57" s="70"/>
      <c r="N57" s="70"/>
      <c r="O57" s="70"/>
      <c r="P57" s="70"/>
      <c r="R57" s="232">
        <v>125000</v>
      </c>
      <c r="S57" s="230">
        <f t="shared" si="2"/>
        <v>37</v>
      </c>
      <c r="T57" s="233">
        <f t="shared" si="1"/>
        <v>46250</v>
      </c>
    </row>
    <row r="58" spans="1:20" x14ac:dyDescent="0.25">
      <c r="A58" s="83">
        <f t="shared" si="3"/>
        <v>18</v>
      </c>
      <c r="B58" s="3"/>
      <c r="C58" s="4" t="s">
        <v>439</v>
      </c>
      <c r="D58" s="53" t="s">
        <v>16</v>
      </c>
      <c r="E58" s="5">
        <f t="shared" si="0"/>
        <v>4110000</v>
      </c>
      <c r="F58" s="54"/>
      <c r="G58" s="70"/>
      <c r="H58" s="70"/>
      <c r="I58" s="70"/>
      <c r="J58" s="70"/>
      <c r="K58" s="70"/>
      <c r="L58" s="70"/>
      <c r="M58" s="70"/>
      <c r="N58" s="70"/>
      <c r="O58" s="70"/>
      <c r="P58" s="70"/>
      <c r="R58" s="232">
        <f>R49</f>
        <v>3000000</v>
      </c>
      <c r="S58" s="230">
        <f t="shared" si="2"/>
        <v>37</v>
      </c>
      <c r="T58" s="233">
        <f t="shared" si="1"/>
        <v>1110000</v>
      </c>
    </row>
    <row r="59" spans="1:20" x14ac:dyDescent="0.25">
      <c r="A59" s="83">
        <f t="shared" si="3"/>
        <v>19</v>
      </c>
      <c r="B59" s="3"/>
      <c r="C59" s="4" t="s">
        <v>81</v>
      </c>
      <c r="D59" s="53" t="s">
        <v>82</v>
      </c>
      <c r="E59" s="5">
        <f t="shared" si="0"/>
        <v>34250</v>
      </c>
      <c r="F59" s="54"/>
      <c r="G59" s="70"/>
      <c r="H59" s="70"/>
      <c r="I59" s="70"/>
      <c r="J59" s="70"/>
      <c r="K59" s="70"/>
      <c r="L59" s="70"/>
      <c r="M59" s="70"/>
      <c r="N59" s="70"/>
      <c r="O59" s="70"/>
      <c r="P59" s="70"/>
      <c r="R59" s="232">
        <v>25000</v>
      </c>
      <c r="S59" s="230">
        <f t="shared" si="2"/>
        <v>37</v>
      </c>
      <c r="T59" s="233">
        <f t="shared" si="1"/>
        <v>9250</v>
      </c>
    </row>
    <row r="60" spans="1:20" x14ac:dyDescent="0.25">
      <c r="A60" s="83">
        <f t="shared" si="3"/>
        <v>20</v>
      </c>
      <c r="B60" s="3"/>
      <c r="C60" s="4" t="s">
        <v>440</v>
      </c>
      <c r="D60" s="53" t="s">
        <v>17</v>
      </c>
      <c r="E60" s="5">
        <f t="shared" si="0"/>
        <v>26030</v>
      </c>
      <c r="F60" s="54"/>
      <c r="G60" s="70"/>
      <c r="H60" s="70"/>
      <c r="I60" s="70"/>
      <c r="J60" s="70"/>
      <c r="K60" s="70"/>
      <c r="L60" s="70"/>
      <c r="M60" s="70"/>
      <c r="N60" s="70"/>
      <c r="O60" s="70"/>
      <c r="P60" s="70"/>
      <c r="R60" s="232">
        <v>19000</v>
      </c>
      <c r="S60" s="230">
        <f t="shared" si="2"/>
        <v>37</v>
      </c>
      <c r="T60" s="233">
        <f t="shared" si="1"/>
        <v>7030</v>
      </c>
    </row>
    <row r="61" spans="1:20" x14ac:dyDescent="0.25">
      <c r="A61" s="83">
        <f t="shared" si="3"/>
        <v>21</v>
      </c>
      <c r="B61" s="3"/>
      <c r="C61" s="397" t="s">
        <v>441</v>
      </c>
      <c r="D61" s="53" t="s">
        <v>23</v>
      </c>
      <c r="E61" s="5">
        <f t="shared" si="0"/>
        <v>89050</v>
      </c>
      <c r="F61" s="54"/>
      <c r="G61" s="70"/>
      <c r="H61" s="70"/>
      <c r="I61" s="70"/>
      <c r="J61" s="70"/>
      <c r="K61" s="70"/>
      <c r="L61" s="70"/>
      <c r="M61" s="70"/>
      <c r="N61" s="70"/>
      <c r="O61" s="70"/>
      <c r="P61" s="70"/>
      <c r="R61" s="232">
        <v>65000</v>
      </c>
      <c r="S61" s="230">
        <f t="shared" si="2"/>
        <v>37</v>
      </c>
      <c r="T61" s="233">
        <f t="shared" si="1"/>
        <v>24050</v>
      </c>
    </row>
    <row r="62" spans="1:20" x14ac:dyDescent="0.25">
      <c r="A62" s="83">
        <f t="shared" si="3"/>
        <v>22</v>
      </c>
      <c r="B62" s="3"/>
      <c r="C62" s="4" t="s">
        <v>113</v>
      </c>
      <c r="D62" s="53" t="s">
        <v>22</v>
      </c>
      <c r="E62" s="5">
        <f t="shared" si="0"/>
        <v>205500</v>
      </c>
      <c r="F62" s="54"/>
      <c r="G62" s="70"/>
      <c r="H62" s="70"/>
      <c r="I62" s="70"/>
      <c r="J62" s="70"/>
      <c r="K62" s="70"/>
      <c r="L62" s="70"/>
      <c r="M62" s="70"/>
      <c r="N62" s="70"/>
      <c r="O62" s="70"/>
      <c r="P62" s="70"/>
      <c r="R62" s="232">
        <v>150000</v>
      </c>
      <c r="S62" s="230">
        <f t="shared" si="2"/>
        <v>37</v>
      </c>
      <c r="T62" s="233">
        <f t="shared" si="1"/>
        <v>55500</v>
      </c>
    </row>
    <row r="63" spans="1:20" x14ac:dyDescent="0.25">
      <c r="A63" s="83">
        <f t="shared" si="3"/>
        <v>23</v>
      </c>
      <c r="B63" s="3"/>
      <c r="C63" s="4" t="s">
        <v>453</v>
      </c>
      <c r="D63" s="53" t="s">
        <v>22</v>
      </c>
      <c r="E63" s="5">
        <f t="shared" si="0"/>
        <v>13700</v>
      </c>
      <c r="F63" s="54"/>
      <c r="G63" s="70"/>
      <c r="H63" s="70"/>
      <c r="I63" s="70"/>
      <c r="J63" s="70"/>
      <c r="K63" s="70"/>
      <c r="L63" s="70"/>
      <c r="M63" s="70"/>
      <c r="N63" s="70"/>
      <c r="O63" s="70"/>
      <c r="P63" s="70"/>
      <c r="R63" s="232">
        <v>10000</v>
      </c>
      <c r="S63" s="230">
        <f t="shared" si="2"/>
        <v>37</v>
      </c>
      <c r="T63" s="233">
        <f t="shared" si="1"/>
        <v>3700</v>
      </c>
    </row>
    <row r="64" spans="1:20" x14ac:dyDescent="0.25">
      <c r="A64" s="83">
        <f t="shared" si="3"/>
        <v>24</v>
      </c>
      <c r="B64" s="3"/>
      <c r="C64" s="4" t="s">
        <v>312</v>
      </c>
      <c r="D64" s="53" t="s">
        <v>22</v>
      </c>
      <c r="E64" s="5">
        <f t="shared" si="0"/>
        <v>20550</v>
      </c>
      <c r="F64" s="54"/>
      <c r="G64" s="70"/>
      <c r="H64" s="70"/>
      <c r="I64" s="70"/>
      <c r="J64" s="70"/>
      <c r="K64" s="70"/>
      <c r="L64" s="70"/>
      <c r="M64" s="70"/>
      <c r="N64" s="70"/>
      <c r="O64" s="70"/>
      <c r="P64" s="70"/>
      <c r="R64" s="236">
        <v>15000</v>
      </c>
      <c r="S64" s="230">
        <f t="shared" si="2"/>
        <v>37</v>
      </c>
      <c r="T64" s="233">
        <f t="shared" si="1"/>
        <v>5550</v>
      </c>
    </row>
    <row r="65" spans="1:20" x14ac:dyDescent="0.25">
      <c r="A65" s="83">
        <f t="shared" si="3"/>
        <v>25</v>
      </c>
      <c r="B65" s="3"/>
      <c r="C65" s="4" t="s">
        <v>313</v>
      </c>
      <c r="D65" s="53" t="s">
        <v>22</v>
      </c>
      <c r="E65" s="5">
        <f t="shared" si="0"/>
        <v>17810</v>
      </c>
      <c r="F65" s="54"/>
      <c r="G65" s="70"/>
      <c r="H65" s="70"/>
      <c r="I65" s="70"/>
      <c r="J65" s="70"/>
      <c r="K65" s="70"/>
      <c r="L65" s="70"/>
      <c r="M65" s="70"/>
      <c r="N65" s="70"/>
      <c r="O65" s="70"/>
      <c r="P65" s="70"/>
      <c r="R65" s="232">
        <v>13000</v>
      </c>
      <c r="S65" s="230">
        <f t="shared" si="2"/>
        <v>37</v>
      </c>
      <c r="T65" s="233">
        <f t="shared" si="1"/>
        <v>4810</v>
      </c>
    </row>
    <row r="66" spans="1:20" x14ac:dyDescent="0.25">
      <c r="A66" s="83">
        <f t="shared" si="3"/>
        <v>26</v>
      </c>
      <c r="B66" s="3"/>
      <c r="C66" s="4" t="s">
        <v>454</v>
      </c>
      <c r="D66" s="53" t="s">
        <v>22</v>
      </c>
      <c r="E66" s="5">
        <f t="shared" si="0"/>
        <v>20550</v>
      </c>
      <c r="F66" s="54"/>
      <c r="G66" s="70"/>
      <c r="H66" s="70"/>
      <c r="I66" s="70"/>
      <c r="J66" s="70"/>
      <c r="K66" s="70"/>
      <c r="L66" s="70"/>
      <c r="M66" s="70"/>
      <c r="N66" s="70"/>
      <c r="O66" s="70"/>
      <c r="P66" s="70"/>
      <c r="R66" s="232">
        <v>15000</v>
      </c>
      <c r="S66" s="230">
        <f t="shared" si="2"/>
        <v>37</v>
      </c>
      <c r="T66" s="233">
        <f t="shared" si="1"/>
        <v>5550</v>
      </c>
    </row>
    <row r="67" spans="1:20" x14ac:dyDescent="0.25">
      <c r="A67" s="83">
        <f t="shared" si="3"/>
        <v>27</v>
      </c>
      <c r="B67" s="3"/>
      <c r="C67" s="4" t="s">
        <v>455</v>
      </c>
      <c r="D67" s="53" t="s">
        <v>22</v>
      </c>
      <c r="E67" s="5">
        <f t="shared" si="0"/>
        <v>20550</v>
      </c>
      <c r="F67" s="54"/>
      <c r="G67" s="70"/>
      <c r="H67" s="70"/>
      <c r="I67" s="70"/>
      <c r="J67" s="70"/>
      <c r="K67" s="70"/>
      <c r="L67" s="70"/>
      <c r="M67" s="70"/>
      <c r="N67" s="70"/>
      <c r="O67" s="70"/>
      <c r="P67" s="70"/>
      <c r="R67" s="232">
        <f>R66</f>
        <v>15000</v>
      </c>
      <c r="S67" s="230">
        <f t="shared" si="2"/>
        <v>37</v>
      </c>
      <c r="T67" s="233">
        <f t="shared" si="1"/>
        <v>5550</v>
      </c>
    </row>
    <row r="68" spans="1:20" x14ac:dyDescent="0.25">
      <c r="A68" s="83">
        <f t="shared" si="3"/>
        <v>28</v>
      </c>
      <c r="B68" s="3"/>
      <c r="C68" s="397" t="s">
        <v>456</v>
      </c>
      <c r="D68" s="53" t="s">
        <v>22</v>
      </c>
      <c r="E68" s="5">
        <f t="shared" si="0"/>
        <v>20550</v>
      </c>
      <c r="F68" s="54"/>
      <c r="G68" s="70"/>
      <c r="H68" s="70"/>
      <c r="I68" s="70"/>
      <c r="J68" s="70"/>
      <c r="K68" s="70"/>
      <c r="L68" s="70"/>
      <c r="M68" s="70"/>
      <c r="N68" s="70"/>
      <c r="O68" s="70"/>
      <c r="P68" s="70"/>
      <c r="R68" s="232">
        <f>R67</f>
        <v>15000</v>
      </c>
      <c r="S68" s="230">
        <f t="shared" si="2"/>
        <v>37</v>
      </c>
      <c r="T68" s="233">
        <f t="shared" si="1"/>
        <v>5550</v>
      </c>
    </row>
    <row r="69" spans="1:20" x14ac:dyDescent="0.25">
      <c r="A69" s="83">
        <f t="shared" si="3"/>
        <v>29</v>
      </c>
      <c r="B69" s="3"/>
      <c r="C69" s="4" t="s">
        <v>457</v>
      </c>
      <c r="D69" s="53" t="s">
        <v>22</v>
      </c>
      <c r="E69" s="5">
        <f t="shared" si="0"/>
        <v>20550</v>
      </c>
      <c r="F69" s="54"/>
      <c r="G69" s="70"/>
      <c r="H69" s="70"/>
      <c r="I69" s="70"/>
      <c r="J69" s="70"/>
      <c r="K69" s="70"/>
      <c r="L69" s="70"/>
      <c r="M69" s="70"/>
      <c r="N69" s="70"/>
      <c r="O69" s="70"/>
      <c r="P69" s="70"/>
      <c r="R69" s="232">
        <f>R68</f>
        <v>15000</v>
      </c>
      <c r="S69" s="230">
        <f t="shared" si="2"/>
        <v>37</v>
      </c>
      <c r="T69" s="233">
        <f t="shared" si="1"/>
        <v>5550</v>
      </c>
    </row>
    <row r="70" spans="1:20" x14ac:dyDescent="0.25">
      <c r="A70" s="55"/>
      <c r="B70" s="3"/>
      <c r="C70" s="4"/>
      <c r="D70" s="53"/>
      <c r="E70" s="5">
        <f t="shared" ref="E70:E100" si="4">R70+T70</f>
        <v>0</v>
      </c>
      <c r="F70" s="54"/>
      <c r="G70" s="70"/>
      <c r="H70" s="70"/>
      <c r="I70" s="70"/>
      <c r="J70" s="70"/>
      <c r="K70" s="70"/>
      <c r="L70" s="70"/>
      <c r="M70" s="70"/>
      <c r="N70" s="70"/>
      <c r="O70" s="70"/>
      <c r="P70" s="70"/>
      <c r="R70" s="232"/>
      <c r="S70" s="230">
        <f t="shared" si="2"/>
        <v>37</v>
      </c>
      <c r="T70" s="233">
        <f t="shared" si="1"/>
        <v>0</v>
      </c>
    </row>
    <row r="71" spans="1:20" x14ac:dyDescent="0.25">
      <c r="A71" s="50"/>
      <c r="B71" s="51"/>
      <c r="C71" s="52" t="s">
        <v>473</v>
      </c>
      <c r="D71" s="53"/>
      <c r="E71" s="5">
        <f t="shared" si="4"/>
        <v>0</v>
      </c>
      <c r="F71" s="54"/>
      <c r="G71" s="70"/>
      <c r="H71" s="70"/>
      <c r="I71" s="70"/>
      <c r="J71" s="70"/>
      <c r="K71" s="70"/>
      <c r="L71" s="70"/>
      <c r="M71" s="70"/>
      <c r="N71" s="70"/>
      <c r="O71" s="70"/>
      <c r="P71" s="70"/>
      <c r="R71" s="232"/>
      <c r="S71" s="230">
        <f t="shared" si="2"/>
        <v>37</v>
      </c>
      <c r="T71" s="233">
        <f t="shared" si="1"/>
        <v>0</v>
      </c>
    </row>
    <row r="72" spans="1:20" x14ac:dyDescent="0.25">
      <c r="A72" s="56">
        <v>1</v>
      </c>
      <c r="B72" s="3"/>
      <c r="C72" s="397" t="s">
        <v>267</v>
      </c>
      <c r="D72" s="53" t="s">
        <v>17</v>
      </c>
      <c r="E72" s="5">
        <f t="shared" si="4"/>
        <v>30140</v>
      </c>
      <c r="F72" s="54"/>
      <c r="G72" s="70"/>
      <c r="H72" s="70"/>
      <c r="I72" s="70"/>
      <c r="J72" s="70"/>
      <c r="K72" s="70"/>
      <c r="L72" s="70"/>
      <c r="M72" s="70"/>
      <c r="N72" s="70"/>
      <c r="O72" s="70"/>
      <c r="P72" s="70"/>
      <c r="R72" s="232">
        <f>550000/25</f>
        <v>22000</v>
      </c>
      <c r="S72" s="230">
        <f t="shared" si="2"/>
        <v>37</v>
      </c>
      <c r="T72" s="233">
        <f t="shared" si="1"/>
        <v>8140</v>
      </c>
    </row>
    <row r="73" spans="1:20" x14ac:dyDescent="0.25">
      <c r="A73" s="56">
        <f>A72+1</f>
        <v>2</v>
      </c>
      <c r="B73" s="3"/>
      <c r="C73" s="397" t="s">
        <v>458</v>
      </c>
      <c r="D73" s="53" t="s">
        <v>17</v>
      </c>
      <c r="E73" s="5">
        <f t="shared" si="4"/>
        <v>89050</v>
      </c>
      <c r="F73" s="54"/>
      <c r="G73" s="70"/>
      <c r="H73" s="70"/>
      <c r="I73" s="70"/>
      <c r="J73" s="70"/>
      <c r="K73" s="70"/>
      <c r="L73" s="70"/>
      <c r="M73" s="70"/>
      <c r="N73" s="70"/>
      <c r="O73" s="70"/>
      <c r="P73" s="70"/>
      <c r="R73" s="232">
        <v>65000</v>
      </c>
      <c r="S73" s="230">
        <f t="shared" si="2"/>
        <v>37</v>
      </c>
      <c r="T73" s="233">
        <f t="shared" ref="T73:T120" si="5">S73/100*R73</f>
        <v>24050</v>
      </c>
    </row>
    <row r="74" spans="1:20" x14ac:dyDescent="0.25">
      <c r="A74" s="56">
        <f t="shared" ref="A74:A80" si="6">A73+1</f>
        <v>3</v>
      </c>
      <c r="B74" s="84"/>
      <c r="C74" s="84" t="s">
        <v>459</v>
      </c>
      <c r="D74" s="2" t="str">
        <f>D73</f>
        <v>Kg</v>
      </c>
      <c r="E74" s="5">
        <f t="shared" si="4"/>
        <v>43840</v>
      </c>
      <c r="F74" s="54"/>
      <c r="G74" s="70"/>
      <c r="H74" s="70"/>
      <c r="I74" s="70"/>
      <c r="J74" s="70"/>
      <c r="K74" s="70"/>
      <c r="L74" s="70"/>
      <c r="M74" s="70"/>
      <c r="N74" s="70"/>
      <c r="O74" s="70"/>
      <c r="P74" s="70"/>
      <c r="R74" s="235">
        <v>32000</v>
      </c>
      <c r="S74" s="230">
        <f t="shared" ref="S74:S120" si="7">S73</f>
        <v>37</v>
      </c>
      <c r="T74" s="233">
        <f t="shared" si="5"/>
        <v>11840</v>
      </c>
    </row>
    <row r="75" spans="1:20" x14ac:dyDescent="0.25">
      <c r="A75" s="56">
        <f t="shared" si="6"/>
        <v>4</v>
      </c>
      <c r="B75" s="3"/>
      <c r="C75" s="4" t="s">
        <v>460</v>
      </c>
      <c r="D75" s="53" t="s">
        <v>17</v>
      </c>
      <c r="E75" s="5">
        <f t="shared" si="4"/>
        <v>71240</v>
      </c>
      <c r="F75" s="54"/>
      <c r="G75" s="70"/>
      <c r="H75" s="70"/>
      <c r="I75" s="70"/>
      <c r="J75" s="70"/>
      <c r="K75" s="70"/>
      <c r="L75" s="70"/>
      <c r="M75" s="70"/>
      <c r="N75" s="70"/>
      <c r="O75" s="70"/>
      <c r="P75" s="70"/>
      <c r="R75" s="232">
        <v>52000</v>
      </c>
      <c r="S75" s="230">
        <f t="shared" si="7"/>
        <v>37</v>
      </c>
      <c r="T75" s="233">
        <f t="shared" si="5"/>
        <v>19240</v>
      </c>
    </row>
    <row r="76" spans="1:20" x14ac:dyDescent="0.25">
      <c r="A76" s="56">
        <f t="shared" si="6"/>
        <v>5</v>
      </c>
      <c r="B76" s="3"/>
      <c r="C76" s="4" t="s">
        <v>470</v>
      </c>
      <c r="D76" s="53" t="s">
        <v>17</v>
      </c>
      <c r="E76" s="5">
        <f t="shared" si="4"/>
        <v>52608</v>
      </c>
      <c r="F76" s="54"/>
      <c r="G76" s="70"/>
      <c r="H76" s="70"/>
      <c r="I76" s="70"/>
      <c r="J76" s="70"/>
      <c r="K76" s="70"/>
      <c r="L76" s="70"/>
      <c r="M76" s="70"/>
      <c r="N76" s="70"/>
      <c r="O76" s="70"/>
      <c r="P76" s="70"/>
      <c r="R76" s="232">
        <v>38400</v>
      </c>
      <c r="S76" s="230">
        <f t="shared" si="7"/>
        <v>37</v>
      </c>
      <c r="T76" s="233">
        <f t="shared" si="5"/>
        <v>14208</v>
      </c>
    </row>
    <row r="77" spans="1:20" x14ac:dyDescent="0.25">
      <c r="A77" s="56">
        <f t="shared" si="6"/>
        <v>6</v>
      </c>
      <c r="B77" s="3"/>
      <c r="C77" s="4" t="s">
        <v>469</v>
      </c>
      <c r="D77" s="53" t="s">
        <v>17</v>
      </c>
      <c r="E77" s="5">
        <f t="shared" si="4"/>
        <v>35072</v>
      </c>
      <c r="F77" s="54"/>
      <c r="G77" s="70"/>
      <c r="H77" s="70"/>
      <c r="I77" s="70"/>
      <c r="J77" s="70"/>
      <c r="K77" s="70"/>
      <c r="L77" s="70"/>
      <c r="M77" s="70"/>
      <c r="N77" s="70"/>
      <c r="O77" s="70"/>
      <c r="P77" s="70"/>
      <c r="R77" s="232">
        <v>25600</v>
      </c>
      <c r="S77" s="230">
        <f t="shared" si="7"/>
        <v>37</v>
      </c>
      <c r="T77" s="233">
        <f t="shared" si="5"/>
        <v>9472</v>
      </c>
    </row>
    <row r="78" spans="1:20" x14ac:dyDescent="0.25">
      <c r="A78" s="56">
        <f t="shared" si="6"/>
        <v>7</v>
      </c>
      <c r="B78" s="3"/>
      <c r="C78" s="397" t="s">
        <v>461</v>
      </c>
      <c r="D78" s="53" t="s">
        <v>24</v>
      </c>
      <c r="E78" s="5">
        <f t="shared" si="4"/>
        <v>4110</v>
      </c>
      <c r="F78" s="54"/>
      <c r="G78" s="70"/>
      <c r="H78" s="70"/>
      <c r="I78" s="70"/>
      <c r="J78" s="70"/>
      <c r="K78" s="70"/>
      <c r="L78" s="70"/>
      <c r="M78" s="70"/>
      <c r="N78" s="70"/>
      <c r="O78" s="70"/>
      <c r="P78" s="70"/>
      <c r="R78" s="232">
        <v>3000</v>
      </c>
      <c r="S78" s="230">
        <f t="shared" si="7"/>
        <v>37</v>
      </c>
      <c r="T78" s="233">
        <f t="shared" si="5"/>
        <v>1110</v>
      </c>
    </row>
    <row r="79" spans="1:20" x14ac:dyDescent="0.25">
      <c r="A79" s="56">
        <f t="shared" si="6"/>
        <v>8</v>
      </c>
      <c r="B79" s="3"/>
      <c r="C79" s="397" t="s">
        <v>471</v>
      </c>
      <c r="D79" s="53" t="s">
        <v>22</v>
      </c>
      <c r="E79" s="5">
        <f t="shared" si="4"/>
        <v>52608</v>
      </c>
      <c r="F79" s="54"/>
      <c r="G79" s="70"/>
      <c r="H79" s="70"/>
      <c r="I79" s="70"/>
      <c r="J79" s="70"/>
      <c r="K79" s="70"/>
      <c r="L79" s="70"/>
      <c r="M79" s="70"/>
      <c r="N79" s="70"/>
      <c r="O79" s="70"/>
      <c r="P79" s="70"/>
      <c r="R79" s="232">
        <v>38400</v>
      </c>
      <c r="S79" s="230">
        <f t="shared" si="7"/>
        <v>37</v>
      </c>
      <c r="T79" s="233">
        <f t="shared" si="5"/>
        <v>14208</v>
      </c>
    </row>
    <row r="80" spans="1:20" x14ac:dyDescent="0.25">
      <c r="A80" s="56">
        <f t="shared" si="6"/>
        <v>9</v>
      </c>
      <c r="B80" s="3"/>
      <c r="C80" s="397" t="s">
        <v>462</v>
      </c>
      <c r="D80" s="53" t="s">
        <v>22</v>
      </c>
      <c r="E80" s="5">
        <f t="shared" si="4"/>
        <v>26304</v>
      </c>
      <c r="F80" s="54"/>
      <c r="G80" s="70"/>
      <c r="H80" s="70"/>
      <c r="I80" s="70"/>
      <c r="J80" s="70"/>
      <c r="K80" s="70"/>
      <c r="L80" s="70"/>
      <c r="M80" s="70"/>
      <c r="N80" s="70"/>
      <c r="O80" s="70"/>
      <c r="P80" s="70"/>
      <c r="R80" s="232">
        <v>19200</v>
      </c>
      <c r="S80" s="230">
        <f t="shared" si="7"/>
        <v>37</v>
      </c>
      <c r="T80" s="233">
        <f t="shared" si="5"/>
        <v>7104</v>
      </c>
    </row>
    <row r="81" spans="1:20" x14ac:dyDescent="0.25">
      <c r="A81" s="55"/>
      <c r="B81" s="3"/>
      <c r="C81" s="4"/>
      <c r="D81" s="53"/>
      <c r="E81" s="5">
        <f t="shared" si="4"/>
        <v>0</v>
      </c>
      <c r="F81" s="54"/>
      <c r="G81" s="70"/>
      <c r="H81" s="70"/>
      <c r="I81" s="70"/>
      <c r="J81" s="70"/>
      <c r="K81" s="70"/>
      <c r="L81" s="70"/>
      <c r="M81" s="70"/>
      <c r="N81" s="70"/>
      <c r="O81" s="70"/>
      <c r="P81" s="70"/>
      <c r="R81" s="232"/>
      <c r="S81" s="230">
        <f t="shared" si="7"/>
        <v>37</v>
      </c>
      <c r="T81" s="233">
        <f t="shared" si="5"/>
        <v>0</v>
      </c>
    </row>
    <row r="82" spans="1:20" x14ac:dyDescent="0.25">
      <c r="A82" s="50"/>
      <c r="B82" s="51"/>
      <c r="C82" s="52" t="s">
        <v>474</v>
      </c>
      <c r="D82" s="53"/>
      <c r="E82" s="5">
        <f t="shared" si="4"/>
        <v>0</v>
      </c>
      <c r="F82" s="54"/>
      <c r="G82" s="70"/>
      <c r="H82" s="70"/>
      <c r="I82" s="70"/>
      <c r="J82" s="70"/>
      <c r="K82" s="70"/>
      <c r="L82" s="70"/>
      <c r="M82" s="70"/>
      <c r="N82" s="70"/>
      <c r="O82" s="70"/>
      <c r="P82" s="70"/>
      <c r="R82" s="232"/>
      <c r="S82" s="230">
        <f t="shared" si="7"/>
        <v>37</v>
      </c>
      <c r="T82" s="233">
        <f t="shared" si="5"/>
        <v>0</v>
      </c>
    </row>
    <row r="83" spans="1:20" x14ac:dyDescent="0.25">
      <c r="A83" s="56">
        <v>1</v>
      </c>
      <c r="B83" s="3"/>
      <c r="C83" s="4" t="s">
        <v>65</v>
      </c>
      <c r="D83" s="53" t="s">
        <v>42</v>
      </c>
      <c r="E83" s="5">
        <f t="shared" si="4"/>
        <v>56512.5</v>
      </c>
      <c r="F83" s="54"/>
      <c r="G83" s="70"/>
      <c r="H83" s="70"/>
      <c r="I83" s="70"/>
      <c r="J83" s="70"/>
      <c r="K83" s="70"/>
      <c r="L83" s="70"/>
      <c r="M83" s="70"/>
      <c r="N83" s="70"/>
      <c r="O83" s="70"/>
      <c r="P83" s="70"/>
      <c r="R83" s="232">
        <f>165000/4</f>
        <v>41250</v>
      </c>
      <c r="S83" s="230">
        <f t="shared" si="7"/>
        <v>37</v>
      </c>
      <c r="T83" s="233">
        <f t="shared" si="5"/>
        <v>15262.5</v>
      </c>
    </row>
    <row r="84" spans="1:20" x14ac:dyDescent="0.25">
      <c r="A84" s="55">
        <f>SUM(A83+1)</f>
        <v>2</v>
      </c>
      <c r="B84" s="3"/>
      <c r="C84" s="4" t="s">
        <v>92</v>
      </c>
      <c r="D84" s="53" t="s">
        <v>42</v>
      </c>
      <c r="E84" s="5">
        <f t="shared" si="4"/>
        <v>39730</v>
      </c>
      <c r="F84" s="54"/>
      <c r="G84" s="70"/>
      <c r="H84" s="70"/>
      <c r="I84" s="70"/>
      <c r="J84" s="70"/>
      <c r="K84" s="70"/>
      <c r="L84" s="70"/>
      <c r="M84" s="70"/>
      <c r="N84" s="70"/>
      <c r="O84" s="70"/>
      <c r="P84" s="70"/>
      <c r="R84" s="232">
        <f>116000/4</f>
        <v>29000</v>
      </c>
      <c r="S84" s="230">
        <f t="shared" si="7"/>
        <v>37</v>
      </c>
      <c r="T84" s="233">
        <f t="shared" si="5"/>
        <v>10730</v>
      </c>
    </row>
    <row r="85" spans="1:20" x14ac:dyDescent="0.25">
      <c r="A85" s="55">
        <f t="shared" ref="A85:A94" si="8">SUM(A84+1)</f>
        <v>3</v>
      </c>
      <c r="B85" s="3"/>
      <c r="C85" s="4" t="s">
        <v>66</v>
      </c>
      <c r="D85" s="53" t="s">
        <v>42</v>
      </c>
      <c r="E85" s="5">
        <f t="shared" si="4"/>
        <v>17467.5</v>
      </c>
      <c r="F85" s="54"/>
      <c r="G85" s="70"/>
      <c r="H85" s="70"/>
      <c r="I85" s="70"/>
      <c r="J85" s="70"/>
      <c r="K85" s="70"/>
      <c r="L85" s="70"/>
      <c r="M85" s="70"/>
      <c r="N85" s="70"/>
      <c r="O85" s="70"/>
      <c r="P85" s="70"/>
      <c r="R85" s="232">
        <f>51000/4</f>
        <v>12750</v>
      </c>
      <c r="S85" s="230">
        <f t="shared" si="7"/>
        <v>37</v>
      </c>
      <c r="T85" s="233">
        <f t="shared" si="5"/>
        <v>4717.5</v>
      </c>
    </row>
    <row r="86" spans="1:20" x14ac:dyDescent="0.25">
      <c r="A86" s="55">
        <f t="shared" si="8"/>
        <v>4</v>
      </c>
      <c r="B86" s="3"/>
      <c r="C86" s="4" t="s">
        <v>67</v>
      </c>
      <c r="D86" s="53" t="s">
        <v>42</v>
      </c>
      <c r="E86" s="5">
        <f t="shared" si="4"/>
        <v>11645</v>
      </c>
      <c r="F86" s="54"/>
      <c r="G86" s="70"/>
      <c r="H86" s="70"/>
      <c r="I86" s="70"/>
      <c r="J86" s="70"/>
      <c r="K86" s="70"/>
      <c r="L86" s="70"/>
      <c r="M86" s="70"/>
      <c r="N86" s="70"/>
      <c r="O86" s="70"/>
      <c r="P86" s="70"/>
      <c r="R86" s="232">
        <f>34000/4</f>
        <v>8500</v>
      </c>
      <c r="S86" s="230">
        <f t="shared" si="7"/>
        <v>37</v>
      </c>
      <c r="T86" s="233">
        <f t="shared" si="5"/>
        <v>3145</v>
      </c>
    </row>
    <row r="87" spans="1:20" x14ac:dyDescent="0.25">
      <c r="A87" s="55">
        <f t="shared" si="8"/>
        <v>5</v>
      </c>
      <c r="B87" s="6"/>
      <c r="C87" s="399" t="s">
        <v>468</v>
      </c>
      <c r="D87" s="53" t="s">
        <v>22</v>
      </c>
      <c r="E87" s="5">
        <f t="shared" si="4"/>
        <v>137000</v>
      </c>
      <c r="F87" s="62"/>
      <c r="G87" s="70"/>
      <c r="H87" s="70"/>
      <c r="I87" s="70"/>
      <c r="J87" s="70"/>
      <c r="K87" s="70"/>
      <c r="L87" s="70"/>
      <c r="M87" s="70"/>
      <c r="N87" s="70"/>
      <c r="O87" s="70"/>
      <c r="P87" s="70"/>
      <c r="R87" s="232">
        <v>100000</v>
      </c>
      <c r="S87" s="230">
        <f t="shared" si="7"/>
        <v>37</v>
      </c>
      <c r="T87" s="233">
        <f t="shared" si="5"/>
        <v>37000</v>
      </c>
    </row>
    <row r="88" spans="1:20" x14ac:dyDescent="0.25">
      <c r="A88" s="55">
        <f t="shared" si="8"/>
        <v>6</v>
      </c>
      <c r="B88" s="6"/>
      <c r="C88" s="7" t="s">
        <v>120</v>
      </c>
      <c r="D88" s="53" t="s">
        <v>22</v>
      </c>
      <c r="E88" s="5">
        <f t="shared" si="4"/>
        <v>54800</v>
      </c>
      <c r="F88" s="62"/>
      <c r="G88" s="70"/>
      <c r="H88" s="70"/>
      <c r="I88" s="70"/>
      <c r="J88" s="70"/>
      <c r="K88" s="70"/>
      <c r="L88" s="70"/>
      <c r="M88" s="70"/>
      <c r="N88" s="70"/>
      <c r="O88" s="70"/>
      <c r="P88" s="70"/>
      <c r="R88" s="232">
        <v>40000</v>
      </c>
      <c r="S88" s="230">
        <f t="shared" si="7"/>
        <v>37</v>
      </c>
      <c r="T88" s="233">
        <f t="shared" si="5"/>
        <v>14800</v>
      </c>
    </row>
    <row r="89" spans="1:20" x14ac:dyDescent="0.25">
      <c r="A89" s="55">
        <f t="shared" si="8"/>
        <v>7</v>
      </c>
      <c r="B89" s="6"/>
      <c r="C89" s="7" t="s">
        <v>467</v>
      </c>
      <c r="D89" s="53" t="s">
        <v>22</v>
      </c>
      <c r="E89" s="5">
        <f t="shared" si="4"/>
        <v>54800</v>
      </c>
      <c r="F89" s="62"/>
      <c r="G89" s="70"/>
      <c r="H89" s="70"/>
      <c r="I89" s="70"/>
      <c r="J89" s="70"/>
      <c r="K89" s="70"/>
      <c r="L89" s="70"/>
      <c r="M89" s="70"/>
      <c r="N89" s="70"/>
      <c r="O89" s="70"/>
      <c r="P89" s="70"/>
      <c r="R89" s="232">
        <v>40000</v>
      </c>
      <c r="S89" s="230">
        <f t="shared" si="7"/>
        <v>37</v>
      </c>
      <c r="T89" s="233">
        <f t="shared" si="5"/>
        <v>14800</v>
      </c>
    </row>
    <row r="90" spans="1:20" x14ac:dyDescent="0.25">
      <c r="A90" s="55">
        <f t="shared" si="8"/>
        <v>8</v>
      </c>
      <c r="B90" s="6"/>
      <c r="C90" s="7" t="s">
        <v>463</v>
      </c>
      <c r="D90" s="53" t="s">
        <v>22</v>
      </c>
      <c r="E90" s="5">
        <f t="shared" si="4"/>
        <v>287700</v>
      </c>
      <c r="F90" s="62"/>
      <c r="G90" s="70"/>
      <c r="H90" s="70"/>
      <c r="I90" s="70"/>
      <c r="J90" s="70"/>
      <c r="K90" s="70"/>
      <c r="L90" s="70"/>
      <c r="M90" s="70"/>
      <c r="N90" s="70"/>
      <c r="O90" s="70"/>
      <c r="P90" s="70"/>
      <c r="R90" s="232">
        <v>210000</v>
      </c>
      <c r="S90" s="230">
        <f t="shared" si="7"/>
        <v>37</v>
      </c>
      <c r="T90" s="233">
        <f t="shared" si="5"/>
        <v>77700</v>
      </c>
    </row>
    <row r="91" spans="1:20" x14ac:dyDescent="0.25">
      <c r="A91" s="55">
        <f t="shared" si="8"/>
        <v>9</v>
      </c>
      <c r="B91" s="6"/>
      <c r="C91" s="399" t="s">
        <v>464</v>
      </c>
      <c r="D91" s="63" t="str">
        <f>D89</f>
        <v>Bh</v>
      </c>
      <c r="E91" s="5">
        <f t="shared" si="4"/>
        <v>822000</v>
      </c>
      <c r="F91" s="62"/>
      <c r="G91" s="70"/>
      <c r="H91" s="70"/>
      <c r="I91" s="70"/>
      <c r="J91" s="70"/>
      <c r="K91" s="70"/>
      <c r="L91" s="70"/>
      <c r="M91" s="70"/>
      <c r="N91" s="70"/>
      <c r="O91" s="70"/>
      <c r="P91" s="70"/>
      <c r="R91" s="232">
        <v>600000</v>
      </c>
      <c r="S91" s="230">
        <f t="shared" si="7"/>
        <v>37</v>
      </c>
      <c r="T91" s="233">
        <f t="shared" si="5"/>
        <v>222000</v>
      </c>
    </row>
    <row r="92" spans="1:20" x14ac:dyDescent="0.25">
      <c r="A92" s="55">
        <f t="shared" si="8"/>
        <v>10</v>
      </c>
      <c r="B92" s="6"/>
      <c r="C92" s="399" t="s">
        <v>466</v>
      </c>
      <c r="D92" s="63" t="s">
        <v>22</v>
      </c>
      <c r="E92" s="5">
        <f t="shared" si="4"/>
        <v>479500</v>
      </c>
      <c r="F92" s="62"/>
      <c r="G92" s="70"/>
      <c r="H92" s="70"/>
      <c r="I92" s="70"/>
      <c r="J92" s="70"/>
      <c r="K92" s="70"/>
      <c r="L92" s="70"/>
      <c r="M92" s="70"/>
      <c r="N92" s="70"/>
      <c r="O92" s="70"/>
      <c r="P92" s="70"/>
      <c r="R92" s="232">
        <v>350000</v>
      </c>
      <c r="S92" s="230">
        <f t="shared" si="7"/>
        <v>37</v>
      </c>
      <c r="T92" s="233">
        <f t="shared" si="5"/>
        <v>129500</v>
      </c>
    </row>
    <row r="93" spans="1:20" x14ac:dyDescent="0.25">
      <c r="A93" s="55">
        <f t="shared" si="8"/>
        <v>11</v>
      </c>
      <c r="B93" s="6"/>
      <c r="C93" s="7" t="s">
        <v>102</v>
      </c>
      <c r="D93" s="63" t="s">
        <v>80</v>
      </c>
      <c r="E93" s="5">
        <f t="shared" si="4"/>
        <v>34250</v>
      </c>
      <c r="F93" s="62"/>
      <c r="G93" s="70"/>
      <c r="H93" s="70"/>
      <c r="I93" s="70"/>
      <c r="J93" s="70"/>
      <c r="K93" s="70"/>
      <c r="L93" s="70"/>
      <c r="M93" s="70"/>
      <c r="N93" s="70"/>
      <c r="O93" s="70"/>
      <c r="P93" s="70"/>
      <c r="R93" s="232">
        <v>25000</v>
      </c>
      <c r="S93" s="230">
        <f t="shared" si="7"/>
        <v>37</v>
      </c>
      <c r="T93" s="233">
        <f t="shared" si="5"/>
        <v>9250</v>
      </c>
    </row>
    <row r="94" spans="1:20" x14ac:dyDescent="0.25">
      <c r="A94" s="55">
        <f t="shared" si="8"/>
        <v>12</v>
      </c>
      <c r="B94" s="6"/>
      <c r="C94" s="7" t="s">
        <v>103</v>
      </c>
      <c r="D94" s="63" t="s">
        <v>58</v>
      </c>
      <c r="E94" s="5">
        <f t="shared" si="4"/>
        <v>14659</v>
      </c>
      <c r="F94" s="62"/>
      <c r="G94" s="70"/>
      <c r="H94" s="70"/>
      <c r="I94" s="70"/>
      <c r="J94" s="70"/>
      <c r="K94" s="70"/>
      <c r="L94" s="70"/>
      <c r="M94" s="70"/>
      <c r="N94" s="70"/>
      <c r="O94" s="70"/>
      <c r="P94" s="70"/>
      <c r="R94" s="232">
        <v>10700</v>
      </c>
      <c r="S94" s="230">
        <f t="shared" si="7"/>
        <v>37</v>
      </c>
      <c r="T94" s="233">
        <f t="shared" si="5"/>
        <v>3959</v>
      </c>
    </row>
    <row r="95" spans="1:20" x14ac:dyDescent="0.25">
      <c r="A95" s="55"/>
      <c r="B95" s="6"/>
      <c r="C95" s="7"/>
      <c r="D95" s="63"/>
      <c r="E95" s="5">
        <f t="shared" si="4"/>
        <v>0</v>
      </c>
      <c r="F95" s="62"/>
      <c r="G95" s="70"/>
      <c r="H95" s="70"/>
      <c r="I95" s="70"/>
      <c r="J95" s="70"/>
      <c r="K95" s="70"/>
      <c r="L95" s="70"/>
      <c r="M95" s="70"/>
      <c r="N95" s="70"/>
      <c r="O95" s="70"/>
      <c r="P95" s="70"/>
      <c r="R95" s="232"/>
      <c r="S95" s="230">
        <f t="shared" si="7"/>
        <v>37</v>
      </c>
      <c r="T95" s="233">
        <f t="shared" si="5"/>
        <v>0</v>
      </c>
    </row>
    <row r="96" spans="1:20" x14ac:dyDescent="0.25">
      <c r="A96" s="50"/>
      <c r="B96" s="51"/>
      <c r="C96" s="388" t="s">
        <v>475</v>
      </c>
      <c r="D96" s="53"/>
      <c r="E96" s="5">
        <f t="shared" si="4"/>
        <v>0</v>
      </c>
      <c r="F96" s="54"/>
      <c r="G96" s="70"/>
      <c r="H96" s="70"/>
      <c r="I96" s="70"/>
      <c r="J96" s="70"/>
      <c r="K96" s="70"/>
      <c r="L96" s="70"/>
      <c r="M96" s="70"/>
      <c r="N96" s="70"/>
      <c r="O96" s="70"/>
      <c r="P96" s="70"/>
      <c r="R96" s="232"/>
      <c r="S96" s="230">
        <f t="shared" si="7"/>
        <v>37</v>
      </c>
      <c r="T96" s="233">
        <f t="shared" si="5"/>
        <v>0</v>
      </c>
    </row>
    <row r="97" spans="1:20" x14ac:dyDescent="0.25">
      <c r="A97" s="56">
        <v>1</v>
      </c>
      <c r="B97" s="3"/>
      <c r="C97" s="98" t="s">
        <v>479</v>
      </c>
      <c r="D97" s="2" t="s">
        <v>472</v>
      </c>
      <c r="E97" s="5">
        <f t="shared" si="4"/>
        <v>260300</v>
      </c>
      <c r="F97" s="54"/>
      <c r="G97" s="70"/>
      <c r="H97" s="70"/>
      <c r="I97" s="70"/>
      <c r="J97" s="70"/>
      <c r="K97" s="70"/>
      <c r="L97" s="70"/>
      <c r="M97" s="70"/>
      <c r="N97" s="70"/>
      <c r="O97" s="70"/>
      <c r="P97" s="70"/>
      <c r="R97" s="232">
        <v>190000</v>
      </c>
      <c r="S97" s="230">
        <f t="shared" si="7"/>
        <v>37</v>
      </c>
      <c r="T97" s="233">
        <f t="shared" si="5"/>
        <v>70300</v>
      </c>
    </row>
    <row r="98" spans="1:20" x14ac:dyDescent="0.25">
      <c r="A98" s="55">
        <f>SUM(A97+1)</f>
        <v>2</v>
      </c>
      <c r="B98" s="3"/>
      <c r="C98" s="98" t="s">
        <v>95</v>
      </c>
      <c r="D98" s="2" t="str">
        <f>D97</f>
        <v>Ours</v>
      </c>
      <c r="E98" s="5">
        <f t="shared" si="4"/>
        <v>260300</v>
      </c>
      <c r="F98" s="54"/>
      <c r="G98" s="70"/>
      <c r="H98" s="70"/>
      <c r="I98" s="70"/>
      <c r="J98" s="70"/>
      <c r="K98" s="70"/>
      <c r="L98" s="70"/>
      <c r="M98" s="70"/>
      <c r="N98" s="70"/>
      <c r="O98" s="70"/>
      <c r="P98" s="70"/>
      <c r="R98" s="232">
        <f>R97</f>
        <v>190000</v>
      </c>
      <c r="S98" s="230">
        <f t="shared" si="7"/>
        <v>37</v>
      </c>
      <c r="T98" s="233">
        <f t="shared" si="5"/>
        <v>70300</v>
      </c>
    </row>
    <row r="99" spans="1:20" x14ac:dyDescent="0.25">
      <c r="A99" s="55">
        <f>SUM(A98+1)</f>
        <v>3</v>
      </c>
      <c r="B99" s="3"/>
      <c r="C99" s="98" t="s">
        <v>96</v>
      </c>
      <c r="D99" s="2" t="str">
        <f>D98</f>
        <v>Ours</v>
      </c>
      <c r="E99" s="5">
        <f t="shared" si="4"/>
        <v>260300</v>
      </c>
      <c r="F99" s="54"/>
      <c r="G99" s="70"/>
      <c r="H99" s="70"/>
      <c r="I99" s="70"/>
      <c r="J99" s="70"/>
      <c r="K99" s="70"/>
      <c r="L99" s="70"/>
      <c r="M99" s="70"/>
      <c r="N99" s="70"/>
      <c r="O99" s="70"/>
      <c r="P99" s="70"/>
      <c r="R99" s="232">
        <f>R98</f>
        <v>190000</v>
      </c>
      <c r="S99" s="230">
        <f t="shared" si="7"/>
        <v>37</v>
      </c>
      <c r="T99" s="233">
        <f t="shared" si="5"/>
        <v>70300</v>
      </c>
    </row>
    <row r="100" spans="1:20" x14ac:dyDescent="0.25">
      <c r="A100" s="55">
        <f>SUM(A99+1)</f>
        <v>4</v>
      </c>
      <c r="B100" s="3"/>
      <c r="C100" s="98" t="s">
        <v>97</v>
      </c>
      <c r="D100" s="2" t="str">
        <f>D99</f>
        <v>Ours</v>
      </c>
      <c r="E100" s="5">
        <f t="shared" si="4"/>
        <v>260300</v>
      </c>
      <c r="F100" s="54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R100" s="232">
        <f>R99</f>
        <v>190000</v>
      </c>
      <c r="S100" s="230">
        <f t="shared" si="7"/>
        <v>37</v>
      </c>
      <c r="T100" s="233">
        <f t="shared" si="5"/>
        <v>70300</v>
      </c>
    </row>
    <row r="101" spans="1:20" ht="16.5" thickBot="1" x14ac:dyDescent="0.3">
      <c r="A101" s="64"/>
      <c r="B101" s="65"/>
      <c r="C101" s="65"/>
      <c r="D101" s="99"/>
      <c r="E101" s="66"/>
      <c r="F101" s="67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S101" s="230">
        <f t="shared" si="7"/>
        <v>37</v>
      </c>
      <c r="T101" s="233">
        <f t="shared" si="5"/>
        <v>0</v>
      </c>
    </row>
    <row r="102" spans="1:20" ht="16.5" thickTop="1" x14ac:dyDescent="0.25">
      <c r="A102" s="68"/>
      <c r="B102" s="47"/>
      <c r="C102" s="47"/>
      <c r="D102" s="68"/>
      <c r="E102" s="69"/>
      <c r="F102" s="47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S102" s="230">
        <f t="shared" si="7"/>
        <v>37</v>
      </c>
      <c r="T102" s="233">
        <f t="shared" si="5"/>
        <v>0</v>
      </c>
    </row>
    <row r="103" spans="1:20" x14ac:dyDescent="0.25">
      <c r="A103" s="8"/>
      <c r="B103" s="70"/>
      <c r="C103" s="8"/>
      <c r="D103" s="8"/>
      <c r="E103" s="71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S103" s="230">
        <f t="shared" si="7"/>
        <v>37</v>
      </c>
      <c r="T103" s="233">
        <f t="shared" si="5"/>
        <v>0</v>
      </c>
    </row>
    <row r="104" spans="1:20" x14ac:dyDescent="0.25">
      <c r="A104" s="558" t="s">
        <v>465</v>
      </c>
      <c r="B104" s="558"/>
      <c r="C104" s="558"/>
      <c r="D104" s="558"/>
      <c r="E104" s="558"/>
      <c r="F104" s="558"/>
      <c r="G104" s="217"/>
      <c r="H104" s="217"/>
      <c r="I104" s="217"/>
      <c r="J104" s="217"/>
      <c r="K104" s="217"/>
      <c r="L104" s="217"/>
      <c r="M104" s="217"/>
      <c r="N104" s="217"/>
      <c r="O104" s="217"/>
      <c r="P104" s="217"/>
      <c r="Q104" s="229"/>
      <c r="S104" s="230">
        <f t="shared" si="7"/>
        <v>37</v>
      </c>
      <c r="T104" s="233">
        <f t="shared" si="5"/>
        <v>0</v>
      </c>
    </row>
    <row r="105" spans="1:20" ht="16.5" thickBot="1" x14ac:dyDescent="0.3">
      <c r="S105" s="230">
        <f t="shared" si="7"/>
        <v>37</v>
      </c>
      <c r="T105" s="233">
        <f t="shared" si="5"/>
        <v>0</v>
      </c>
    </row>
    <row r="106" spans="1:20" ht="17.25" customHeight="1" thickTop="1" x14ac:dyDescent="0.25">
      <c r="A106" s="546" t="s">
        <v>10</v>
      </c>
      <c r="B106" s="548" t="s">
        <v>450</v>
      </c>
      <c r="C106" s="549"/>
      <c r="D106" s="552" t="s">
        <v>451</v>
      </c>
      <c r="E106" s="554" t="s">
        <v>259</v>
      </c>
      <c r="F106" s="555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231"/>
      <c r="S106" s="230">
        <f t="shared" si="7"/>
        <v>37</v>
      </c>
      <c r="T106" s="233">
        <f t="shared" si="5"/>
        <v>0</v>
      </c>
    </row>
    <row r="107" spans="1:20" ht="16.5" customHeight="1" thickBot="1" x14ac:dyDescent="0.3">
      <c r="A107" s="547"/>
      <c r="B107" s="550"/>
      <c r="C107" s="551"/>
      <c r="D107" s="553"/>
      <c r="E107" s="556" t="s">
        <v>2</v>
      </c>
      <c r="F107" s="557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231"/>
      <c r="S107" s="230">
        <f t="shared" si="7"/>
        <v>37</v>
      </c>
      <c r="T107" s="233">
        <f t="shared" si="5"/>
        <v>0</v>
      </c>
    </row>
    <row r="108" spans="1:20" ht="16.5" customHeight="1" thickTop="1" x14ac:dyDescent="0.25">
      <c r="A108" s="72"/>
      <c r="B108" s="47"/>
      <c r="C108" s="48"/>
      <c r="D108" s="73"/>
      <c r="E108" s="69"/>
      <c r="F108" s="49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S108" s="230">
        <f>S107</f>
        <v>37</v>
      </c>
      <c r="T108" s="233">
        <f t="shared" si="5"/>
        <v>0</v>
      </c>
    </row>
    <row r="109" spans="1:20" x14ac:dyDescent="0.25">
      <c r="A109" s="56">
        <v>1</v>
      </c>
      <c r="B109" s="3"/>
      <c r="C109" s="4" t="s">
        <v>266</v>
      </c>
      <c r="D109" s="74" t="s">
        <v>449</v>
      </c>
      <c r="E109" s="5">
        <f>R109+T109</f>
        <v>178100</v>
      </c>
      <c r="F109" s="54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R109" s="232">
        <v>130000</v>
      </c>
      <c r="S109" s="230">
        <f>S108</f>
        <v>37</v>
      </c>
      <c r="T109" s="233">
        <f t="shared" si="5"/>
        <v>48100</v>
      </c>
    </row>
    <row r="110" spans="1:20" x14ac:dyDescent="0.25">
      <c r="A110" s="56">
        <f>SUM(A109+1)</f>
        <v>2</v>
      </c>
      <c r="B110" s="3"/>
      <c r="C110" s="382" t="s">
        <v>443</v>
      </c>
      <c r="D110" s="74" t="s">
        <v>449</v>
      </c>
      <c r="E110" s="5">
        <f t="shared" ref="E110:E120" si="9">R110+T110</f>
        <v>178100</v>
      </c>
      <c r="F110" s="54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R110" s="232">
        <v>130000</v>
      </c>
      <c r="S110" s="230">
        <f t="shared" si="7"/>
        <v>37</v>
      </c>
      <c r="T110" s="233">
        <f t="shared" si="5"/>
        <v>48100</v>
      </c>
    </row>
    <row r="111" spans="1:20" x14ac:dyDescent="0.25">
      <c r="A111" s="56">
        <f t="shared" ref="A111:A119" si="10">SUM(A110+1)</f>
        <v>3</v>
      </c>
      <c r="B111" s="3"/>
      <c r="C111" s="398" t="s">
        <v>444</v>
      </c>
      <c r="D111" s="74" t="s">
        <v>449</v>
      </c>
      <c r="E111" s="5">
        <f t="shared" si="9"/>
        <v>164400</v>
      </c>
      <c r="F111" s="54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R111" s="232">
        <v>120000</v>
      </c>
      <c r="S111" s="230">
        <f t="shared" si="7"/>
        <v>37</v>
      </c>
      <c r="T111" s="233">
        <f t="shared" si="5"/>
        <v>44400</v>
      </c>
    </row>
    <row r="112" spans="1:20" x14ac:dyDescent="0.25">
      <c r="A112" s="56">
        <f t="shared" si="10"/>
        <v>4</v>
      </c>
      <c r="B112" s="3"/>
      <c r="C112" s="4" t="s">
        <v>14</v>
      </c>
      <c r="D112" s="74" t="s">
        <v>449</v>
      </c>
      <c r="E112" s="5">
        <f t="shared" si="9"/>
        <v>178100</v>
      </c>
      <c r="F112" s="54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R112" s="232">
        <v>130000</v>
      </c>
      <c r="S112" s="230">
        <f t="shared" si="7"/>
        <v>37</v>
      </c>
      <c r="T112" s="233">
        <f t="shared" si="5"/>
        <v>48100</v>
      </c>
    </row>
    <row r="113" spans="1:20" x14ac:dyDescent="0.25">
      <c r="A113" s="56">
        <f t="shared" si="10"/>
        <v>5</v>
      </c>
      <c r="B113" s="3"/>
      <c r="C113" s="10" t="s">
        <v>296</v>
      </c>
      <c r="D113" s="74" t="s">
        <v>449</v>
      </c>
      <c r="E113" s="5">
        <f t="shared" si="9"/>
        <v>164400</v>
      </c>
      <c r="F113" s="54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R113" s="232">
        <v>120000</v>
      </c>
      <c r="S113" s="230">
        <f t="shared" si="7"/>
        <v>37</v>
      </c>
      <c r="T113" s="233">
        <f t="shared" si="5"/>
        <v>44400</v>
      </c>
    </row>
    <row r="114" spans="1:20" x14ac:dyDescent="0.25">
      <c r="A114" s="56">
        <f t="shared" si="10"/>
        <v>6</v>
      </c>
      <c r="B114" s="3"/>
      <c r="C114" s="10" t="s">
        <v>301</v>
      </c>
      <c r="D114" s="74" t="s">
        <v>449</v>
      </c>
      <c r="E114" s="5">
        <f t="shared" si="9"/>
        <v>164400</v>
      </c>
      <c r="F114" s="54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R114" s="232">
        <v>120000</v>
      </c>
      <c r="S114" s="230">
        <f t="shared" si="7"/>
        <v>37</v>
      </c>
      <c r="T114" s="233">
        <f t="shared" si="5"/>
        <v>44400</v>
      </c>
    </row>
    <row r="115" spans="1:20" x14ac:dyDescent="0.25">
      <c r="A115" s="56">
        <f t="shared" si="10"/>
        <v>7</v>
      </c>
      <c r="B115" s="3"/>
      <c r="C115" s="397" t="s">
        <v>355</v>
      </c>
      <c r="D115" s="74" t="s">
        <v>449</v>
      </c>
      <c r="E115" s="5">
        <f t="shared" si="9"/>
        <v>164400</v>
      </c>
      <c r="F115" s="54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R115" s="232">
        <v>120000</v>
      </c>
      <c r="S115" s="230">
        <f t="shared" si="7"/>
        <v>37</v>
      </c>
      <c r="T115" s="233">
        <f t="shared" si="5"/>
        <v>44400</v>
      </c>
    </row>
    <row r="116" spans="1:20" x14ac:dyDescent="0.25">
      <c r="A116" s="56">
        <f t="shared" si="10"/>
        <v>8</v>
      </c>
      <c r="B116" s="3"/>
      <c r="C116" s="4" t="s">
        <v>445</v>
      </c>
      <c r="D116" s="74" t="s">
        <v>449</v>
      </c>
      <c r="E116" s="5">
        <f t="shared" si="9"/>
        <v>164400</v>
      </c>
      <c r="F116" s="54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R116" s="232">
        <v>120000</v>
      </c>
      <c r="S116" s="230">
        <f t="shared" si="7"/>
        <v>37</v>
      </c>
      <c r="T116" s="233">
        <f t="shared" si="5"/>
        <v>44400</v>
      </c>
    </row>
    <row r="117" spans="1:20" x14ac:dyDescent="0.25">
      <c r="A117" s="56">
        <f t="shared" si="10"/>
        <v>9</v>
      </c>
      <c r="B117" s="3"/>
      <c r="C117" s="4" t="s">
        <v>446</v>
      </c>
      <c r="D117" s="74" t="s">
        <v>449</v>
      </c>
      <c r="E117" s="5">
        <f t="shared" si="9"/>
        <v>137000</v>
      </c>
      <c r="F117" s="54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R117" s="232">
        <v>100000</v>
      </c>
      <c r="S117" s="230">
        <f t="shared" si="7"/>
        <v>37</v>
      </c>
      <c r="T117" s="233">
        <f t="shared" si="5"/>
        <v>37000</v>
      </c>
    </row>
    <row r="118" spans="1:20" x14ac:dyDescent="0.25">
      <c r="A118" s="56">
        <f t="shared" si="10"/>
        <v>10</v>
      </c>
      <c r="B118" s="3"/>
      <c r="C118" s="4" t="s">
        <v>447</v>
      </c>
      <c r="D118" s="74" t="s">
        <v>449</v>
      </c>
      <c r="E118" s="5">
        <f t="shared" si="9"/>
        <v>164400</v>
      </c>
      <c r="F118" s="54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R118" s="232">
        <v>120000</v>
      </c>
      <c r="S118" s="230">
        <f t="shared" si="7"/>
        <v>37</v>
      </c>
      <c r="T118" s="233">
        <f t="shared" si="5"/>
        <v>44400</v>
      </c>
    </row>
    <row r="119" spans="1:20" x14ac:dyDescent="0.25">
      <c r="A119" s="56">
        <f t="shared" si="10"/>
        <v>11</v>
      </c>
      <c r="B119" s="3"/>
      <c r="C119" s="4" t="s">
        <v>448</v>
      </c>
      <c r="D119" s="74" t="s">
        <v>449</v>
      </c>
      <c r="E119" s="5">
        <f t="shared" si="9"/>
        <v>137000</v>
      </c>
      <c r="F119" s="54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R119" s="232">
        <v>100000</v>
      </c>
      <c r="S119" s="230">
        <f t="shared" si="7"/>
        <v>37</v>
      </c>
      <c r="T119" s="233">
        <f t="shared" si="5"/>
        <v>37000</v>
      </c>
    </row>
    <row r="120" spans="1:20" x14ac:dyDescent="0.25">
      <c r="A120" s="56">
        <v>10</v>
      </c>
      <c r="B120" s="3"/>
      <c r="C120" s="4" t="s">
        <v>230</v>
      </c>
      <c r="D120" s="74" t="s">
        <v>449</v>
      </c>
      <c r="E120" s="5">
        <f t="shared" si="9"/>
        <v>109600</v>
      </c>
      <c r="F120" s="54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R120" s="232">
        <v>80000</v>
      </c>
      <c r="S120" s="230">
        <f t="shared" si="7"/>
        <v>37</v>
      </c>
      <c r="T120" s="233">
        <f t="shared" si="5"/>
        <v>29600</v>
      </c>
    </row>
    <row r="121" spans="1:20" ht="16.5" thickBot="1" x14ac:dyDescent="0.3">
      <c r="A121" s="75"/>
      <c r="B121" s="76"/>
      <c r="C121" s="77"/>
      <c r="D121" s="78"/>
      <c r="E121" s="79"/>
      <c r="F121" s="80"/>
      <c r="G121" s="70"/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1:20" ht="16.5" thickTop="1" x14ac:dyDescent="0.25">
      <c r="E122" s="81"/>
    </row>
    <row r="123" spans="1:20" x14ac:dyDescent="0.25">
      <c r="E123" s="81"/>
    </row>
    <row r="124" spans="1:20" x14ac:dyDescent="0.25">
      <c r="E124" s="81"/>
    </row>
    <row r="125" spans="1:20" x14ac:dyDescent="0.25">
      <c r="E125" s="81"/>
    </row>
    <row r="126" spans="1:20" x14ac:dyDescent="0.25">
      <c r="E126" s="81"/>
    </row>
    <row r="127" spans="1:20" x14ac:dyDescent="0.25">
      <c r="E127" s="81"/>
    </row>
    <row r="128" spans="1:20" x14ac:dyDescent="0.25">
      <c r="E128" s="81"/>
    </row>
    <row r="129" spans="5:5" x14ac:dyDescent="0.25">
      <c r="E129" s="81"/>
    </row>
    <row r="130" spans="5:5" x14ac:dyDescent="0.25">
      <c r="E130" s="81"/>
    </row>
    <row r="131" spans="5:5" x14ac:dyDescent="0.25">
      <c r="E131" s="81"/>
    </row>
    <row r="132" spans="5:5" x14ac:dyDescent="0.25">
      <c r="E132" s="81"/>
    </row>
    <row r="133" spans="5:5" x14ac:dyDescent="0.25">
      <c r="E133" s="81"/>
    </row>
    <row r="134" spans="5:5" x14ac:dyDescent="0.25">
      <c r="E134" s="81"/>
    </row>
    <row r="135" spans="5:5" x14ac:dyDescent="0.25">
      <c r="E135" s="81"/>
    </row>
    <row r="136" spans="5:5" x14ac:dyDescent="0.25">
      <c r="E136" s="81"/>
    </row>
    <row r="137" spans="5:5" x14ac:dyDescent="0.25">
      <c r="E137" s="81"/>
    </row>
    <row r="138" spans="5:5" x14ac:dyDescent="0.25">
      <c r="E138" s="81"/>
    </row>
    <row r="139" spans="5:5" x14ac:dyDescent="0.25">
      <c r="E139" s="81"/>
    </row>
    <row r="140" spans="5:5" x14ac:dyDescent="0.25">
      <c r="E140" s="81"/>
    </row>
    <row r="141" spans="5:5" x14ac:dyDescent="0.25">
      <c r="E141" s="81"/>
    </row>
    <row r="142" spans="5:5" x14ac:dyDescent="0.25">
      <c r="E142" s="81"/>
    </row>
    <row r="143" spans="5:5" x14ac:dyDescent="0.25">
      <c r="E143" s="81"/>
    </row>
  </sheetData>
  <mergeCells count="12">
    <mergeCell ref="A1:F1"/>
    <mergeCell ref="A104:F104"/>
    <mergeCell ref="A3:A4"/>
    <mergeCell ref="B3:C4"/>
    <mergeCell ref="D3:D4"/>
    <mergeCell ref="E4:F4"/>
    <mergeCell ref="E3:F3"/>
    <mergeCell ref="A106:A107"/>
    <mergeCell ref="B106:C107"/>
    <mergeCell ref="D106:D107"/>
    <mergeCell ref="E106:F106"/>
    <mergeCell ref="E107:F107"/>
  </mergeCells>
  <phoneticPr fontId="0" type="noConversion"/>
  <printOptions horizontalCentered="1" verticalCentered="1"/>
  <pageMargins left="0.5" right="0.25" top="0.25" bottom="0.25" header="0.5" footer="0.5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SCH</vt:lpstr>
      <vt:lpstr>RECAPITULATION</vt:lpstr>
      <vt:lpstr>LOCAL PER 3 CLASSES</vt:lpstr>
      <vt:lpstr>TEACHER'S ROOM, PRINCIPAL...</vt:lpstr>
      <vt:lpstr>LIBRARY</vt:lpstr>
      <vt:lpstr>MEUBELAIR</vt:lpstr>
      <vt:lpstr>Analysis</vt:lpstr>
      <vt:lpstr>Unit Price </vt:lpstr>
      <vt:lpstr>Analysis!Print_Area</vt:lpstr>
      <vt:lpstr>LIBRARY!Print_Area</vt:lpstr>
      <vt:lpstr>'LOCAL PER 3 CLASSES'!Print_Area</vt:lpstr>
      <vt:lpstr>RECAPITULATION!Print_Area</vt:lpstr>
      <vt:lpstr>'TEACHER''S ROOM, PRINCIPAL...'!Print_Area</vt:lpstr>
      <vt:lpstr>'Unit Price '!Print_Area</vt:lpstr>
    </vt:vector>
  </TitlesOfParts>
  <Company>defauld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2018-09-11T00:03:46Z</cp:lastPrinted>
  <dcterms:created xsi:type="dcterms:W3CDTF">2005-04-16T17:52:02Z</dcterms:created>
  <dcterms:modified xsi:type="dcterms:W3CDTF">2020-03-24T20:48:59Z</dcterms:modified>
</cp:coreProperties>
</file>