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4320" yWindow="0" windowWidth="23320" windowHeight="16060"/>
  </bookViews>
  <sheets>
    <sheet name="Financial Statemen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B42" i="1"/>
  <c r="B23" i="1"/>
  <c r="B20" i="1"/>
  <c r="C31" i="1"/>
  <c r="C21" i="1"/>
  <c r="C34" i="1"/>
  <c r="C35" i="1"/>
  <c r="C25" i="1"/>
  <c r="C20" i="1"/>
  <c r="C33" i="1"/>
  <c r="B33" i="1"/>
  <c r="B34" i="1"/>
  <c r="B25" i="1"/>
  <c r="B21" i="1"/>
  <c r="B31" i="1"/>
  <c r="B26" i="1"/>
  <c r="B27" i="1"/>
  <c r="B28" i="1"/>
  <c r="B29" i="1"/>
  <c r="B30" i="1"/>
  <c r="B32" i="1"/>
  <c r="B35" i="1"/>
  <c r="B36" i="1"/>
  <c r="B37" i="1"/>
  <c r="C29" i="1"/>
  <c r="C27" i="1"/>
  <c r="C16" i="1"/>
  <c r="C12" i="1"/>
  <c r="B16" i="1"/>
  <c r="C4" i="1"/>
  <c r="C6" i="1"/>
  <c r="D16" i="1"/>
  <c r="E16" i="1"/>
  <c r="E6" i="1"/>
  <c r="B44" i="1"/>
  <c r="E5" i="1"/>
  <c r="E4" i="1"/>
  <c r="E20" i="1"/>
  <c r="E25" i="1"/>
  <c r="E26" i="1"/>
  <c r="E27" i="1"/>
  <c r="E28" i="1"/>
  <c r="E29" i="1"/>
  <c r="E31" i="1"/>
  <c r="E32" i="1"/>
  <c r="E34" i="1"/>
  <c r="E35" i="1"/>
  <c r="E36" i="1"/>
  <c r="E39" i="1"/>
  <c r="E42" i="1"/>
  <c r="D42" i="1"/>
  <c r="C26" i="1"/>
  <c r="C28" i="1"/>
  <c r="C30" i="1"/>
  <c r="B41" i="1"/>
  <c r="E8" i="1"/>
  <c r="D21" i="1"/>
  <c r="D22" i="1"/>
  <c r="D30" i="1"/>
  <c r="D33" i="1"/>
  <c r="D37" i="1"/>
  <c r="D40" i="1"/>
  <c r="D41" i="1"/>
  <c r="D20" i="1"/>
  <c r="D39" i="1"/>
  <c r="D36" i="1"/>
  <c r="D35" i="1"/>
  <c r="D34" i="1"/>
  <c r="D32" i="1"/>
  <c r="D31" i="1"/>
  <c r="D29" i="1"/>
  <c r="D26" i="1"/>
  <c r="D28" i="1"/>
  <c r="D27" i="1"/>
  <c r="D25" i="1"/>
  <c r="E18" i="1"/>
  <c r="C18" i="1"/>
</calcChain>
</file>

<file path=xl/comments1.xml><?xml version="1.0" encoding="utf-8"?>
<comments xmlns="http://schemas.openxmlformats.org/spreadsheetml/2006/main">
  <authors>
    <author>Alli O'Connell</author>
    <author>rgross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Calibri"/>
            <family val="2"/>
          </rPr>
          <t>Specify local currency 
ex. Quetzales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B.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income in 2015.  Note that there is a formula in this cell to total all the amounts listed in Column C Income.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0" authorId="0">
      <text>
        <r>
          <rPr>
            <sz val="9"/>
            <color indexed="81"/>
            <rFont val="Calibri"/>
            <family val="2"/>
          </rPr>
          <t xml:space="preserve">Add a separate line for each programatic activity
Ex. Scholarship Program, $3,000
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Add a separate line for each overhead item. 
Ex. Office supplies, $100</t>
        </r>
      </text>
    </comment>
    <comment ref="B31" authorId="1">
      <text>
        <r>
          <rPr>
            <b/>
            <sz val="9"/>
            <color indexed="81"/>
            <rFont val="Calibri"/>
            <family val="2"/>
          </rPr>
          <t>rgross:</t>
        </r>
        <r>
          <rPr>
            <sz val="9"/>
            <color indexed="81"/>
            <rFont val="Calibri"/>
            <family val="2"/>
          </rPr>
          <t xml:space="preserve">
4 months rent covering September-Decembe</t>
        </r>
      </text>
    </comment>
    <comment ref="B42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C4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2" authorId="0">
      <text>
        <r>
          <rPr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B. </t>
        </r>
      </text>
    </comment>
    <comment ref="E42" authorId="0">
      <text>
        <r>
          <rPr>
            <b/>
            <sz val="9"/>
            <color indexed="81"/>
            <rFont val="Calibri"/>
            <family val="2"/>
          </rPr>
          <t xml:space="preserve">Total amount of all projected expenses in 2015.  Note that there is a formula in this cell to total all the amounts listed in Column C Expenses.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<sst xmlns="http://schemas.openxmlformats.org/spreadsheetml/2006/main" count="49" uniqueCount="46">
  <si>
    <r>
      <rPr>
        <b/>
        <sz val="11"/>
        <color indexed="8"/>
        <rFont val="Calibri"/>
        <family val="2"/>
      </rPr>
      <t xml:space="preserve">Other </t>
    </r>
    <phoneticPr fontId="4" type="noConversion"/>
  </si>
  <si>
    <t>List other expenses</t>
    <phoneticPr fontId="4" type="noConversion"/>
  </si>
  <si>
    <t xml:space="preserve">Lobbying activities </t>
    <phoneticPr fontId="4" type="noConversion"/>
  </si>
  <si>
    <t>Income</t>
    <phoneticPr fontId="4" type="noConversion"/>
  </si>
  <si>
    <t>Total Income</t>
    <phoneticPr fontId="4" type="noConversion"/>
  </si>
  <si>
    <t>Expenses</t>
    <phoneticPr fontId="4" type="noConversion"/>
  </si>
  <si>
    <t>Total Expenses</t>
    <phoneticPr fontId="4" type="noConversion"/>
  </si>
  <si>
    <t>Two-Year Financial Statement</t>
    <phoneticPr fontId="4" type="noConversion"/>
  </si>
  <si>
    <t>Individual Donations</t>
  </si>
  <si>
    <t>Grants</t>
  </si>
  <si>
    <t>Events and Fundraising</t>
  </si>
  <si>
    <t>Membership Fees</t>
  </si>
  <si>
    <t>Programmatic Acitivies</t>
  </si>
  <si>
    <t>Overhead</t>
  </si>
  <si>
    <t xml:space="preserve">Corporate Donations </t>
  </si>
  <si>
    <t xml:space="preserve">USD </t>
    <phoneticPr fontId="4" type="noConversion"/>
  </si>
  <si>
    <t>USD</t>
    <phoneticPr fontId="4" type="noConversion"/>
  </si>
  <si>
    <t>Interest Earned</t>
    <phoneticPr fontId="4" type="noConversion"/>
  </si>
  <si>
    <t>Malawi Kwacha</t>
  </si>
  <si>
    <t>Corporate Donation - Proskauer Rose LLP</t>
  </si>
  <si>
    <t>Corporate Donation List</t>
  </si>
  <si>
    <r>
      <t>Previous Ye</t>
    </r>
    <r>
      <rPr>
        <b/>
        <sz val="12"/>
        <rFont val="Calibri"/>
        <family val="2"/>
      </rPr>
      <t>ar (2015 September - 2016 August)</t>
    </r>
  </si>
  <si>
    <r>
      <t xml:space="preserve">Current </t>
    </r>
    <r>
      <rPr>
        <b/>
        <sz val="12"/>
        <rFont val="Calibri"/>
        <family val="2"/>
      </rPr>
      <t>Year (2016 September - Current)</t>
    </r>
  </si>
  <si>
    <t>Salaries</t>
  </si>
  <si>
    <t>Health insurance</t>
  </si>
  <si>
    <t>Gratuity</t>
  </si>
  <si>
    <t>Office Supplies</t>
  </si>
  <si>
    <t>Small Wages</t>
  </si>
  <si>
    <t>Staff Training</t>
  </si>
  <si>
    <t>Rent</t>
  </si>
  <si>
    <t>Fundraising</t>
  </si>
  <si>
    <t>Communication</t>
  </si>
  <si>
    <t>Travel Related Costs</t>
  </si>
  <si>
    <t>Bank Charges</t>
  </si>
  <si>
    <t>Capital Expenditure</t>
  </si>
  <si>
    <t>Exchange Rate of $1 is equal to</t>
  </si>
  <si>
    <t>Girls Empowered - financial literacy and business training to girls</t>
  </si>
  <si>
    <t>Sew Local Malawi - financial literacy and business training to tailors; profit sharing of products sold in international markets</t>
  </si>
  <si>
    <t>Community Outreach - community health day, school career fair</t>
  </si>
  <si>
    <t>Annual membership Fee with NGO Board Malawi</t>
  </si>
  <si>
    <t>MWK</t>
  </si>
  <si>
    <r>
      <t xml:space="preserve">Other </t>
    </r>
    <r>
      <rPr>
        <i/>
        <sz val="12"/>
        <rFont val="Calibri"/>
      </rPr>
      <t>(specify)</t>
    </r>
  </si>
  <si>
    <t>Light My Fire Fund</t>
  </si>
  <si>
    <t>Gertrude and Murray Bennet Foundation</t>
  </si>
  <si>
    <t>Grants List</t>
  </si>
  <si>
    <t>Scholarship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</si>
</sst>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indexed="8"/>
      <name val="Calibri"/>
      <family val="2"/>
    </font>
    <font>
      <i/>
      <sz val="11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i/>
      <sz val="11"/>
      <name val="Calibri"/>
    </font>
    <font>
      <sz val="11"/>
      <name val="Calibri"/>
    </font>
    <font>
      <i/>
      <sz val="12"/>
      <name val="Calibri"/>
    </font>
    <font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65" fontId="0" fillId="0" borderId="1" xfId="7" applyNumberFormat="1" applyFont="1" applyBorder="1"/>
    <xf numFmtId="165" fontId="0" fillId="0" borderId="0" xfId="7" applyNumberFormat="1" applyFont="1"/>
    <xf numFmtId="1" fontId="0" fillId="0" borderId="0" xfId="0" applyNumberFormat="1" applyBorder="1"/>
    <xf numFmtId="165" fontId="0" fillId="0" borderId="0" xfId="7" applyNumberFormat="1" applyFont="1" applyBorder="1"/>
    <xf numFmtId="165" fontId="0" fillId="0" borderId="1" xfId="0" applyNumberFormat="1" applyBorder="1"/>
    <xf numFmtId="164" fontId="0" fillId="0" borderId="1" xfId="7" applyNumberFormat="1" applyFont="1" applyBorder="1"/>
    <xf numFmtId="1" fontId="1" fillId="0" borderId="0" xfId="0" applyNumberFormat="1" applyFont="1" applyBorder="1"/>
    <xf numFmtId="165" fontId="1" fillId="0" borderId="1" xfId="7" applyNumberFormat="1" applyFont="1" applyBorder="1"/>
    <xf numFmtId="165" fontId="8" fillId="0" borderId="1" xfId="7" applyNumberFormat="1" applyFont="1" applyBorder="1"/>
    <xf numFmtId="0" fontId="12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9" fillId="0" borderId="1" xfId="0" applyFont="1" applyBorder="1" applyAlignment="1">
      <alignment horizontal="left" wrapText="1"/>
    </xf>
    <xf numFmtId="165" fontId="19" fillId="0" borderId="1" xfId="7" applyNumberFormat="1" applyFont="1" applyBorder="1" applyAlignment="1">
      <alignment horizontal="left" wrapText="1"/>
    </xf>
    <xf numFmtId="165" fontId="19" fillId="0" borderId="1" xfId="7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165" fontId="0" fillId="0" borderId="1" xfId="7" applyNumberFormat="1" applyFont="1" applyBorder="1" applyAlignment="1">
      <alignment horizontal="right"/>
    </xf>
    <xf numFmtId="165" fontId="1" fillId="0" borderId="0" xfId="7" applyNumberFormat="1" applyFont="1" applyBorder="1"/>
    <xf numFmtId="0" fontId="22" fillId="0" borderId="1" xfId="0" applyFont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1" fillId="5" borderId="2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/>
    </xf>
    <xf numFmtId="0" fontId="13" fillId="0" borderId="3" xfId="0" applyFont="1" applyFill="1" applyBorder="1" applyAlignment="1"/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165" fontId="1" fillId="5" borderId="2" xfId="7" applyNumberFormat="1" applyFont="1" applyFill="1" applyBorder="1" applyAlignment="1">
      <alignment horizontal="left"/>
    </xf>
    <xf numFmtId="165" fontId="1" fillId="5" borderId="4" xfId="7" applyNumberFormat="1" applyFont="1" applyFill="1" applyBorder="1" applyAlignment="1">
      <alignment horizontal="left"/>
    </xf>
    <xf numFmtId="165" fontId="1" fillId="5" borderId="3" xfId="7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0" fillId="2" borderId="1" xfId="0" applyFill="1" applyBorder="1"/>
    <xf numFmtId="165" fontId="0" fillId="2" borderId="1" xfId="7" applyNumberFormat="1" applyFont="1" applyFill="1" applyBorder="1"/>
    <xf numFmtId="165" fontId="0" fillId="2" borderId="1" xfId="7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wrapText="1"/>
    </xf>
    <xf numFmtId="0" fontId="20" fillId="2" borderId="5" xfId="0" applyFont="1" applyFill="1" applyBorder="1"/>
    <xf numFmtId="165" fontId="20" fillId="2" borderId="5" xfId="7" applyNumberFormat="1" applyFont="1" applyFill="1" applyBorder="1" applyAlignment="1">
      <alignment horizontal="right" wrapText="1"/>
    </xf>
    <xf numFmtId="165" fontId="20" fillId="2" borderId="5" xfId="7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165" fontId="0" fillId="2" borderId="6" xfId="7" applyNumberFormat="1" applyFont="1" applyFill="1" applyBorder="1"/>
    <xf numFmtId="0" fontId="0" fillId="5" borderId="4" xfId="0" applyFill="1" applyBorder="1"/>
    <xf numFmtId="165" fontId="0" fillId="5" borderId="4" xfId="7" applyNumberFormat="1" applyFont="1" applyFill="1" applyBorder="1" applyAlignment="1">
      <alignment horizontal="right"/>
    </xf>
    <xf numFmtId="165" fontId="0" fillId="5" borderId="3" xfId="7" applyNumberFormat="1" applyFont="1" applyFill="1" applyBorder="1"/>
    <xf numFmtId="2" fontId="0" fillId="0" borderId="1" xfId="0" applyNumberFormat="1" applyBorder="1"/>
    <xf numFmtId="43" fontId="0" fillId="0" borderId="1" xfId="7" applyNumberFormat="1" applyFont="1" applyBorder="1"/>
  </cellXfs>
  <cellStyles count="8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B34" sqref="B34"/>
    </sheetView>
  </sheetViews>
  <sheetFormatPr baseColWidth="10" defaultColWidth="8.5" defaultRowHeight="14" x14ac:dyDescent="0"/>
  <cols>
    <col min="1" max="1" width="38" style="27" bestFit="1" customWidth="1"/>
    <col min="2" max="2" width="21.83203125" customWidth="1"/>
    <col min="3" max="3" width="20.5" customWidth="1"/>
    <col min="4" max="4" width="21" customWidth="1"/>
    <col min="5" max="5" width="25.1640625" customWidth="1"/>
    <col min="9" max="9" width="13.33203125" bestFit="1" customWidth="1"/>
  </cols>
  <sheetData>
    <row r="1" spans="1:5" ht="20">
      <c r="A1" s="40" t="s">
        <v>7</v>
      </c>
      <c r="B1" s="41"/>
      <c r="C1" s="42"/>
      <c r="D1" s="42"/>
      <c r="E1" s="42"/>
    </row>
    <row r="2" spans="1:5" ht="20">
      <c r="A2" s="15"/>
      <c r="B2" s="38" t="s">
        <v>22</v>
      </c>
      <c r="C2" s="39"/>
      <c r="D2" s="38" t="s">
        <v>21</v>
      </c>
      <c r="E2" s="39"/>
    </row>
    <row r="3" spans="1:5" ht="18">
      <c r="A3" s="16" t="s">
        <v>3</v>
      </c>
      <c r="B3" s="2" t="s">
        <v>15</v>
      </c>
      <c r="C3" s="4" t="s">
        <v>18</v>
      </c>
      <c r="D3" s="5" t="s">
        <v>15</v>
      </c>
      <c r="E3" s="4" t="s">
        <v>18</v>
      </c>
    </row>
    <row r="4" spans="1:5" ht="15">
      <c r="A4" s="17" t="s">
        <v>8</v>
      </c>
      <c r="B4" s="1">
        <v>495</v>
      </c>
      <c r="C4" s="6">
        <f>B4*$B$44</f>
        <v>278435.02500000002</v>
      </c>
      <c r="D4" s="6">
        <v>21915</v>
      </c>
      <c r="E4" s="28">
        <f>D4*$B$44</f>
        <v>12327077.925000001</v>
      </c>
    </row>
    <row r="5" spans="1:5" ht="15">
      <c r="A5" s="17" t="s">
        <v>14</v>
      </c>
      <c r="B5" s="1">
        <v>0</v>
      </c>
      <c r="C5" s="1">
        <v>0</v>
      </c>
      <c r="D5" s="6">
        <v>1000</v>
      </c>
      <c r="E5" s="28">
        <f>D5*$B$44</f>
        <v>562495</v>
      </c>
    </row>
    <row r="6" spans="1:5" ht="15">
      <c r="A6" s="17" t="s">
        <v>9</v>
      </c>
      <c r="B6" s="6">
        <v>3000</v>
      </c>
      <c r="C6" s="6">
        <f>B6*B44</f>
        <v>1687485</v>
      </c>
      <c r="D6" s="6">
        <v>1000</v>
      </c>
      <c r="E6" s="28">
        <f>D6*B44</f>
        <v>562495</v>
      </c>
    </row>
    <row r="7" spans="1:5" ht="15">
      <c r="A7" s="35" t="s">
        <v>20</v>
      </c>
      <c r="B7" s="36"/>
      <c r="C7" s="36"/>
      <c r="D7" s="36"/>
      <c r="E7" s="37"/>
    </row>
    <row r="8" spans="1:5" ht="15">
      <c r="A8" s="53" t="s">
        <v>19</v>
      </c>
      <c r="B8" s="54"/>
      <c r="C8" s="55"/>
      <c r="D8" s="56">
        <v>1000</v>
      </c>
      <c r="E8" s="57">
        <f>D8*$B$44</f>
        <v>562495</v>
      </c>
    </row>
    <row r="9" spans="1:5" ht="15">
      <c r="A9" s="31" t="s">
        <v>44</v>
      </c>
      <c r="B9" s="62"/>
      <c r="C9" s="62"/>
      <c r="D9" s="63"/>
      <c r="E9" s="64"/>
    </row>
    <row r="10" spans="1:5" ht="15">
      <c r="A10" s="58" t="s">
        <v>42</v>
      </c>
      <c r="B10" s="61">
        <v>3000</v>
      </c>
      <c r="C10" s="59"/>
      <c r="D10" s="60"/>
      <c r="E10" s="61"/>
    </row>
    <row r="11" spans="1:5" ht="15">
      <c r="A11" s="49" t="s">
        <v>43</v>
      </c>
      <c r="B11" s="50"/>
      <c r="C11" s="50"/>
      <c r="D11" s="52">
        <v>1000</v>
      </c>
      <c r="E11" s="51"/>
    </row>
    <row r="12" spans="1:5" ht="15">
      <c r="A12" s="17" t="s">
        <v>10</v>
      </c>
      <c r="B12" s="1">
        <v>105</v>
      </c>
      <c r="C12" s="6">
        <f>B12*B44</f>
        <v>59061.974999999999</v>
      </c>
      <c r="D12" s="1">
        <v>0</v>
      </c>
      <c r="E12" s="6"/>
    </row>
    <row r="13" spans="1:5" ht="15">
      <c r="A13" s="17" t="s">
        <v>11</v>
      </c>
      <c r="B13" s="1">
        <v>0</v>
      </c>
      <c r="C13" s="1"/>
      <c r="D13" s="1">
        <v>0</v>
      </c>
      <c r="E13" s="6"/>
    </row>
    <row r="14" spans="1:5" ht="15">
      <c r="A14" s="17" t="s">
        <v>17</v>
      </c>
      <c r="B14" s="1">
        <v>0</v>
      </c>
      <c r="C14" s="1"/>
      <c r="D14" s="1">
        <v>0</v>
      </c>
      <c r="E14" s="1"/>
    </row>
    <row r="15" spans="1:5" ht="15">
      <c r="A15" s="30" t="s">
        <v>41</v>
      </c>
      <c r="B15" s="1">
        <v>0</v>
      </c>
      <c r="C15" s="1"/>
      <c r="D15" s="1">
        <v>0</v>
      </c>
      <c r="E15" s="1"/>
    </row>
    <row r="16" spans="1:5" ht="15">
      <c r="A16" s="18" t="s">
        <v>4</v>
      </c>
      <c r="B16" s="14">
        <f>SUM(B4:B6,B12)</f>
        <v>3600</v>
      </c>
      <c r="C16" s="14">
        <f>SUM(C4:C6,C12)</f>
        <v>2024982</v>
      </c>
      <c r="D16" s="14">
        <f>SUM(D4:D6)</f>
        <v>23915</v>
      </c>
      <c r="E16" s="14">
        <f>SUM(E4:E6)</f>
        <v>13452067.925000001</v>
      </c>
    </row>
    <row r="17" spans="1:5">
      <c r="A17" s="19"/>
      <c r="B17" s="3"/>
      <c r="C17" s="3"/>
      <c r="D17" s="3"/>
      <c r="E17" s="3"/>
    </row>
    <row r="18" spans="1:5" ht="18">
      <c r="A18" s="16" t="s">
        <v>5</v>
      </c>
      <c r="B18" s="2" t="s">
        <v>16</v>
      </c>
      <c r="C18" s="4" t="str">
        <f>C3</f>
        <v>Malawi Kwacha</v>
      </c>
      <c r="D18" s="5" t="s">
        <v>16</v>
      </c>
      <c r="E18" s="4" t="str">
        <f>E3</f>
        <v>Malawi Kwacha</v>
      </c>
    </row>
    <row r="19" spans="1:5">
      <c r="A19" s="43" t="s">
        <v>12</v>
      </c>
      <c r="B19" s="44"/>
      <c r="C19" s="44"/>
      <c r="D19" s="44"/>
      <c r="E19" s="45"/>
    </row>
    <row r="20" spans="1:5" ht="28">
      <c r="A20" s="20" t="s">
        <v>36</v>
      </c>
      <c r="B20" s="65">
        <f>C20/B44</f>
        <v>271.59708086294103</v>
      </c>
      <c r="C20" s="6">
        <f>SUM(5000+6000+5000+4608+22800+6846+12000+8000+15000+1500+6000+17400+10000+1500+16000+1000+6000+4000+4118)</f>
        <v>152772</v>
      </c>
      <c r="D20" s="10">
        <f>E20/$B$44</f>
        <v>5164.5596849749772</v>
      </c>
      <c r="E20" s="6">
        <f>2905039</f>
        <v>2905039</v>
      </c>
    </row>
    <row r="21" spans="1:5" ht="42">
      <c r="A21" s="21" t="s">
        <v>37</v>
      </c>
      <c r="B21" s="6">
        <f>C21/$B$44</f>
        <v>511.58676966017475</v>
      </c>
      <c r="C21" s="6">
        <f>278500+6265+1000+2000</f>
        <v>287765</v>
      </c>
      <c r="D21" s="6">
        <f>E21/$B$44</f>
        <v>215.18413497008862</v>
      </c>
      <c r="E21" s="6">
        <v>121040</v>
      </c>
    </row>
    <row r="22" spans="1:5" ht="28">
      <c r="A22" s="21" t="s">
        <v>38</v>
      </c>
      <c r="B22" s="6">
        <v>0</v>
      </c>
      <c r="C22" s="6">
        <v>0</v>
      </c>
      <c r="D22" s="6">
        <f>E22/$B$44</f>
        <v>0</v>
      </c>
      <c r="E22" s="6"/>
    </row>
    <row r="23" spans="1:5">
      <c r="A23" s="21" t="s">
        <v>45</v>
      </c>
      <c r="B23" s="66">
        <f>C23/B44</f>
        <v>267.02459577418466</v>
      </c>
      <c r="C23" s="6">
        <v>150200</v>
      </c>
      <c r="D23" s="6"/>
      <c r="E23" s="6"/>
    </row>
    <row r="24" spans="1:5">
      <c r="A24" s="46" t="s">
        <v>13</v>
      </c>
      <c r="B24" s="47"/>
      <c r="C24" s="47"/>
      <c r="D24" s="47"/>
      <c r="E24" s="48"/>
    </row>
    <row r="25" spans="1:5">
      <c r="A25" s="22" t="s">
        <v>23</v>
      </c>
      <c r="B25" s="66">
        <f>C25/$B$44</f>
        <v>462.22576200677338</v>
      </c>
      <c r="C25" s="6">
        <f>210999.68+49000</f>
        <v>259999.68</v>
      </c>
      <c r="D25" s="6">
        <f t="shared" ref="D25:D37" si="0">E25/$B$44</f>
        <v>3776.5349025324667</v>
      </c>
      <c r="E25" s="6">
        <f>2124282</f>
        <v>2124282</v>
      </c>
    </row>
    <row r="26" spans="1:5">
      <c r="A26" s="22" t="s">
        <v>27</v>
      </c>
      <c r="B26" s="6">
        <f>C26/$B$44</f>
        <v>3.5555871607747624</v>
      </c>
      <c r="C26" s="6">
        <f>2000</f>
        <v>2000</v>
      </c>
      <c r="D26" s="6">
        <f t="shared" si="0"/>
        <v>49.778220250846672</v>
      </c>
      <c r="E26" s="6">
        <f>28000</f>
        <v>28000</v>
      </c>
    </row>
    <row r="27" spans="1:5">
      <c r="A27" s="22" t="s">
        <v>24</v>
      </c>
      <c r="B27" s="6">
        <f>C27/$B$44</f>
        <v>109.33430519382395</v>
      </c>
      <c r="C27" s="6">
        <f>45000+16500</f>
        <v>61500</v>
      </c>
      <c r="D27" s="6">
        <f t="shared" si="0"/>
        <v>133.33451852905358</v>
      </c>
      <c r="E27" s="6">
        <f>75000</f>
        <v>75000</v>
      </c>
    </row>
    <row r="28" spans="1:5">
      <c r="A28" s="22" t="s">
        <v>25</v>
      </c>
      <c r="B28" s="6">
        <f>C28/$B$44</f>
        <v>18.755722273086871</v>
      </c>
      <c r="C28" s="6">
        <f>10550</f>
        <v>10550</v>
      </c>
      <c r="D28" s="6">
        <f t="shared" si="0"/>
        <v>181.81139387905671</v>
      </c>
      <c r="E28" s="6">
        <f>102268</f>
        <v>102268</v>
      </c>
    </row>
    <row r="29" spans="1:5">
      <c r="A29" s="22" t="s">
        <v>26</v>
      </c>
      <c r="B29" s="6">
        <f>C29/$B$44</f>
        <v>45.315958364074348</v>
      </c>
      <c r="C29" s="6">
        <f>19690+2200+3600</f>
        <v>25490</v>
      </c>
      <c r="D29" s="6">
        <f t="shared" si="0"/>
        <v>176.30378936701661</v>
      </c>
      <c r="E29" s="6">
        <f>99170</f>
        <v>99170</v>
      </c>
    </row>
    <row r="30" spans="1:5">
      <c r="A30" s="22" t="s">
        <v>28</v>
      </c>
      <c r="B30" s="6">
        <f>C30/$B$44</f>
        <v>49.778220250846672</v>
      </c>
      <c r="C30" s="6">
        <f>28000</f>
        <v>28000</v>
      </c>
      <c r="D30" s="6">
        <f t="shared" si="0"/>
        <v>0</v>
      </c>
      <c r="E30" s="6"/>
    </row>
    <row r="31" spans="1:5">
      <c r="A31" s="22" t="s">
        <v>29</v>
      </c>
      <c r="B31" s="6">
        <f>C31/$B$44</f>
        <v>536.89366127698918</v>
      </c>
      <c r="C31" s="6">
        <f>75000+225000+2000</f>
        <v>302000</v>
      </c>
      <c r="D31" s="6">
        <f t="shared" si="0"/>
        <v>767.57185397203534</v>
      </c>
      <c r="E31" s="6">
        <f>431755.33</f>
        <v>431755.33</v>
      </c>
    </row>
    <row r="32" spans="1:5">
      <c r="A32" s="22" t="s">
        <v>31</v>
      </c>
      <c r="B32" s="6">
        <f>C32/$B$44</f>
        <v>15.111245433292741</v>
      </c>
      <c r="C32" s="6">
        <v>8500</v>
      </c>
      <c r="D32" s="6">
        <f t="shared" si="0"/>
        <v>313.28255362269886</v>
      </c>
      <c r="E32" s="6">
        <f>52706.22+123513.65</f>
        <v>176219.87</v>
      </c>
    </row>
    <row r="33" spans="1:9">
      <c r="A33" s="22" t="s">
        <v>30</v>
      </c>
      <c r="B33" s="66">
        <f>C33/$B$44</f>
        <v>63.46723081982951</v>
      </c>
      <c r="C33" s="6">
        <f>13200+22500</f>
        <v>35700</v>
      </c>
      <c r="D33" s="6">
        <f t="shared" si="0"/>
        <v>86.566102809802757</v>
      </c>
      <c r="E33" s="6">
        <v>48693</v>
      </c>
    </row>
    <row r="34" spans="1:9">
      <c r="A34" s="22" t="s">
        <v>32</v>
      </c>
      <c r="B34" s="6">
        <f>C34/$B$44</f>
        <v>170.07262286775881</v>
      </c>
      <c r="C34" s="6">
        <f>SUM(6000+46965+700+1000+3000+12000+25000+1000)</f>
        <v>95665</v>
      </c>
      <c r="D34" s="6">
        <f t="shared" si="0"/>
        <v>365.34763864567685</v>
      </c>
      <c r="E34" s="6">
        <f>205506.22</f>
        <v>205506.22</v>
      </c>
      <c r="I34" s="7"/>
    </row>
    <row r="35" spans="1:9">
      <c r="A35" s="22" t="s">
        <v>33</v>
      </c>
      <c r="B35" s="6">
        <f>C35/$B$44</f>
        <v>26.999351105343159</v>
      </c>
      <c r="C35" s="6">
        <f>15187</f>
        <v>15187</v>
      </c>
      <c r="D35" s="6">
        <f t="shared" si="0"/>
        <v>183.32962959670752</v>
      </c>
      <c r="E35" s="6">
        <f>103122</f>
        <v>103122</v>
      </c>
    </row>
    <row r="36" spans="1:9">
      <c r="A36" s="23" t="s">
        <v>39</v>
      </c>
      <c r="B36" s="6">
        <f>C36/$B$44</f>
        <v>0</v>
      </c>
      <c r="C36" s="1"/>
      <c r="D36" s="10">
        <f t="shared" si="0"/>
        <v>515.56013831234054</v>
      </c>
      <c r="E36" s="6">
        <f>290000</f>
        <v>290000</v>
      </c>
    </row>
    <row r="37" spans="1:9">
      <c r="A37" s="24"/>
      <c r="B37" s="6">
        <f>C37/$B$44</f>
        <v>0</v>
      </c>
      <c r="C37" s="1"/>
      <c r="D37" s="10">
        <f t="shared" si="0"/>
        <v>0</v>
      </c>
      <c r="E37" s="1"/>
    </row>
    <row r="38" spans="1:9">
      <c r="A38" s="32" t="s">
        <v>0</v>
      </c>
      <c r="B38" s="33"/>
      <c r="C38" s="33"/>
      <c r="D38" s="33"/>
      <c r="E38" s="34"/>
    </row>
    <row r="39" spans="1:9">
      <c r="A39" s="23" t="s">
        <v>34</v>
      </c>
      <c r="B39" s="6">
        <v>0</v>
      </c>
      <c r="C39" s="1"/>
      <c r="D39" s="10">
        <f>E39/$B$44</f>
        <v>252.5355780940275</v>
      </c>
      <c r="E39" s="6">
        <f>142050</f>
        <v>142050</v>
      </c>
    </row>
    <row r="40" spans="1:9">
      <c r="A40" s="25" t="s">
        <v>2</v>
      </c>
      <c r="B40" s="6">
        <v>0</v>
      </c>
      <c r="C40" s="1">
        <v>0</v>
      </c>
      <c r="D40" s="10">
        <f>E40/$B$44</f>
        <v>0</v>
      </c>
      <c r="E40" s="1">
        <v>0</v>
      </c>
    </row>
    <row r="41" spans="1:9">
      <c r="A41" s="23" t="s">
        <v>1</v>
      </c>
      <c r="B41" s="11">
        <f>C41/$B$44</f>
        <v>0</v>
      </c>
      <c r="C41" s="1">
        <v>0</v>
      </c>
      <c r="D41" s="10">
        <f>E41/$B$44</f>
        <v>0</v>
      </c>
      <c r="E41" s="1">
        <v>0</v>
      </c>
    </row>
    <row r="42" spans="1:9" ht="18" customHeight="1">
      <c r="A42" s="18" t="s">
        <v>6</v>
      </c>
      <c r="B42" s="13">
        <f>SUM(B19:B41)</f>
        <v>2551.7181130498943</v>
      </c>
      <c r="C42" s="13">
        <f>SUM(C19:C41)</f>
        <v>1435328.68</v>
      </c>
      <c r="D42" s="13">
        <f>E42/$B$44</f>
        <v>12181.700139556795</v>
      </c>
      <c r="E42" s="13">
        <f>SUM(E19:E41)</f>
        <v>6852145.4199999999</v>
      </c>
    </row>
    <row r="43" spans="1:9" ht="18" customHeight="1">
      <c r="A43" s="26"/>
      <c r="B43" s="8"/>
      <c r="C43" s="9"/>
      <c r="D43" s="9"/>
      <c r="E43" s="9"/>
    </row>
    <row r="44" spans="1:9" ht="18" customHeight="1">
      <c r="A44" s="26" t="s">
        <v>35</v>
      </c>
      <c r="B44" s="12">
        <f>562.495</f>
        <v>562.495</v>
      </c>
      <c r="C44" s="29" t="s">
        <v>40</v>
      </c>
      <c r="D44" s="9"/>
      <c r="E44" s="9"/>
    </row>
    <row r="45" spans="1:9" ht="18" customHeight="1">
      <c r="A45" s="26"/>
      <c r="B45" s="8"/>
      <c r="C45" s="9"/>
      <c r="D45" s="9"/>
      <c r="E45" s="9"/>
    </row>
  </sheetData>
  <mergeCells count="7">
    <mergeCell ref="A38:E38"/>
    <mergeCell ref="A7:E7"/>
    <mergeCell ref="B2:C2"/>
    <mergeCell ref="D2:E2"/>
    <mergeCell ref="A1:E1"/>
    <mergeCell ref="A19:E19"/>
    <mergeCell ref="A24:E24"/>
  </mergeCells>
  <phoneticPr fontId="4" type="noConversion"/>
  <pageMargins left="0.7" right="0.7" top="0.75" bottom="0.75" header="0.3" footer="0.3"/>
  <pageSetup orientation="portrait"/>
  <ignoredErrors>
    <ignoredError sqref="C26 C28 C30" formula="1"/>
    <ignoredError sqref="B34 B36:B37 D30:D37 D40:D42 B41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GlobalGiving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rgross</cp:lastModifiedBy>
  <dcterms:created xsi:type="dcterms:W3CDTF">2012-07-12T18:05:31Z</dcterms:created>
  <dcterms:modified xsi:type="dcterms:W3CDTF">2016-10-26T11:18:10Z</dcterms:modified>
</cp:coreProperties>
</file>