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Revised Budget_Sept 5, 2011" sheetId="4" r:id="rId1"/>
  </sheets>
  <definedNames>
    <definedName name="_xlnm.Print_Area" localSheetId="0">'Revised Budget_Sept 5, 2011'!$A$1:$O$112</definedName>
  </definedNames>
  <calcPr calcId="125725"/>
</workbook>
</file>

<file path=xl/calcChain.xml><?xml version="1.0" encoding="utf-8"?>
<calcChain xmlns="http://schemas.openxmlformats.org/spreadsheetml/2006/main">
  <c r="M93" i="4"/>
  <c r="J112"/>
  <c r="I112"/>
  <c r="J111"/>
  <c r="K111" s="1"/>
  <c r="I111"/>
  <c r="J110"/>
  <c r="I110"/>
  <c r="K110" s="1"/>
  <c r="G98"/>
  <c r="I98" s="1"/>
  <c r="C98"/>
  <c r="H98" s="1"/>
  <c r="J98" s="1"/>
  <c r="J96" s="1"/>
  <c r="K97"/>
  <c r="N97" s="1"/>
  <c r="J94"/>
  <c r="I94"/>
  <c r="K94" s="1"/>
  <c r="N94" s="1"/>
  <c r="J93"/>
  <c r="I93"/>
  <c r="J92"/>
  <c r="I92"/>
  <c r="K92" s="1"/>
  <c r="N92" s="1"/>
  <c r="J91"/>
  <c r="I91"/>
  <c r="K91" s="1"/>
  <c r="N91" s="1"/>
  <c r="J90"/>
  <c r="I90"/>
  <c r="J89"/>
  <c r="I89"/>
  <c r="I88" s="1"/>
  <c r="J84"/>
  <c r="I84"/>
  <c r="J83"/>
  <c r="I83"/>
  <c r="K83" s="1"/>
  <c r="J82"/>
  <c r="I82"/>
  <c r="J81"/>
  <c r="I81"/>
  <c r="K81" s="1"/>
  <c r="K80"/>
  <c r="M80" s="1"/>
  <c r="J80"/>
  <c r="I80"/>
  <c r="K79"/>
  <c r="M79" s="1"/>
  <c r="J79"/>
  <c r="I79"/>
  <c r="J78"/>
  <c r="K78" s="1"/>
  <c r="M78" s="1"/>
  <c r="N78" s="1"/>
  <c r="I78"/>
  <c r="J75"/>
  <c r="I75"/>
  <c r="K75" s="1"/>
  <c r="J74"/>
  <c r="J73" s="1"/>
  <c r="I74"/>
  <c r="N73"/>
  <c r="K62"/>
  <c r="N61"/>
  <c r="J61"/>
  <c r="J59"/>
  <c r="I59"/>
  <c r="K59" s="1"/>
  <c r="N59" s="1"/>
  <c r="J58"/>
  <c r="J57" s="1"/>
  <c r="I58"/>
  <c r="I57" s="1"/>
  <c r="M57"/>
  <c r="G55"/>
  <c r="I55" s="1"/>
  <c r="C55"/>
  <c r="H55" s="1"/>
  <c r="J55" s="1"/>
  <c r="J54"/>
  <c r="I54"/>
  <c r="J53"/>
  <c r="G53"/>
  <c r="I53" s="1"/>
  <c r="J52"/>
  <c r="K52" s="1"/>
  <c r="N52" s="1"/>
  <c r="J51"/>
  <c r="I51"/>
  <c r="J48"/>
  <c r="I48"/>
  <c r="K48" s="1"/>
  <c r="N48" s="1"/>
  <c r="J47"/>
  <c r="I47"/>
  <c r="J46"/>
  <c r="I46"/>
  <c r="J45"/>
  <c r="K45" s="1"/>
  <c r="I45"/>
  <c r="J44"/>
  <c r="I44"/>
  <c r="J43"/>
  <c r="N43" s="1"/>
  <c r="I43"/>
  <c r="J42"/>
  <c r="K42" s="1"/>
  <c r="I42"/>
  <c r="J41"/>
  <c r="I41"/>
  <c r="N41" s="1"/>
  <c r="J40"/>
  <c r="I40"/>
  <c r="J39"/>
  <c r="I39"/>
  <c r="N39" s="1"/>
  <c r="N38"/>
  <c r="J38"/>
  <c r="I38"/>
  <c r="J37"/>
  <c r="K37" s="1"/>
  <c r="I37"/>
  <c r="J36"/>
  <c r="I36"/>
  <c r="K36" s="1"/>
  <c r="J35"/>
  <c r="I35"/>
  <c r="J30"/>
  <c r="I30"/>
  <c r="J29"/>
  <c r="I29"/>
  <c r="J28"/>
  <c r="I28"/>
  <c r="K28" s="1"/>
  <c r="K27"/>
  <c r="M27" s="1"/>
  <c r="J27"/>
  <c r="I27"/>
  <c r="J26"/>
  <c r="I26"/>
  <c r="J25"/>
  <c r="I25"/>
  <c r="J24"/>
  <c r="I24"/>
  <c r="J23"/>
  <c r="I23"/>
  <c r="J22"/>
  <c r="I22"/>
  <c r="J21"/>
  <c r="I21"/>
  <c r="J18"/>
  <c r="I18"/>
  <c r="J17"/>
  <c r="I17"/>
  <c r="C17"/>
  <c r="J16"/>
  <c r="I16"/>
  <c r="J15"/>
  <c r="K15" s="1"/>
  <c r="I15"/>
  <c r="N44" l="1"/>
  <c r="M17"/>
  <c r="N17" s="1"/>
  <c r="N42"/>
  <c r="N40"/>
  <c r="K47"/>
  <c r="N47" s="1"/>
  <c r="K53"/>
  <c r="N53" s="1"/>
  <c r="K23"/>
  <c r="M23" s="1"/>
  <c r="K38"/>
  <c r="K41"/>
  <c r="K58"/>
  <c r="N58" s="1"/>
  <c r="N57" s="1"/>
  <c r="O57" s="1"/>
  <c r="K84"/>
  <c r="M84" s="1"/>
  <c r="K90"/>
  <c r="N90" s="1"/>
  <c r="K93"/>
  <c r="N93" s="1"/>
  <c r="J109"/>
  <c r="M15"/>
  <c r="M18"/>
  <c r="N37"/>
  <c r="N45"/>
  <c r="K51"/>
  <c r="N51" s="1"/>
  <c r="K17"/>
  <c r="K18"/>
  <c r="N18" s="1"/>
  <c r="K22"/>
  <c r="K26"/>
  <c r="I109"/>
  <c r="I62" s="1"/>
  <c r="I61" s="1"/>
  <c r="K61" s="1"/>
  <c r="N83"/>
  <c r="M83"/>
  <c r="N15"/>
  <c r="J34"/>
  <c r="K54"/>
  <c r="N54" s="1"/>
  <c r="K57"/>
  <c r="N79"/>
  <c r="M16"/>
  <c r="K29"/>
  <c r="M29" s="1"/>
  <c r="N29" s="1"/>
  <c r="K35"/>
  <c r="N36"/>
  <c r="K39"/>
  <c r="K43"/>
  <c r="K74"/>
  <c r="I85"/>
  <c r="K89"/>
  <c r="J14"/>
  <c r="K24"/>
  <c r="J31"/>
  <c r="K30"/>
  <c r="M30" s="1"/>
  <c r="N30" s="1"/>
  <c r="K40"/>
  <c r="K44"/>
  <c r="J50"/>
  <c r="J85"/>
  <c r="J86" s="1"/>
  <c r="J77" s="1"/>
  <c r="J88"/>
  <c r="K16"/>
  <c r="I14"/>
  <c r="K46"/>
  <c r="K34" s="1"/>
  <c r="N46"/>
  <c r="I34"/>
  <c r="M81"/>
  <c r="K98"/>
  <c r="I96"/>
  <c r="K55"/>
  <c r="M55" s="1"/>
  <c r="J32"/>
  <c r="J20" s="1"/>
  <c r="N26"/>
  <c r="M26"/>
  <c r="M28"/>
  <c r="N28" s="1"/>
  <c r="M35"/>
  <c r="M34" s="1"/>
  <c r="M22"/>
  <c r="N22" s="1"/>
  <c r="M24"/>
  <c r="N24" s="1"/>
  <c r="M88"/>
  <c r="I86"/>
  <c r="N23"/>
  <c r="K25"/>
  <c r="N27"/>
  <c r="I31"/>
  <c r="K31" s="1"/>
  <c r="M74"/>
  <c r="M75"/>
  <c r="N80"/>
  <c r="K82"/>
  <c r="K112"/>
  <c r="K109" s="1"/>
  <c r="M62" s="1"/>
  <c r="M61" s="1"/>
  <c r="K14"/>
  <c r="I50"/>
  <c r="I73"/>
  <c r="K21"/>
  <c r="K50" l="1"/>
  <c r="N84"/>
  <c r="J64"/>
  <c r="N34"/>
  <c r="O34" s="1"/>
  <c r="N21"/>
  <c r="M21"/>
  <c r="K86"/>
  <c r="M86" s="1"/>
  <c r="I32"/>
  <c r="K32" s="1"/>
  <c r="M32" s="1"/>
  <c r="N16"/>
  <c r="N14" s="1"/>
  <c r="K88"/>
  <c r="N89"/>
  <c r="N88" s="1"/>
  <c r="O88" s="1"/>
  <c r="M73"/>
  <c r="O73" s="1"/>
  <c r="K85"/>
  <c r="J100"/>
  <c r="J102" s="1"/>
  <c r="M25"/>
  <c r="N25" s="1"/>
  <c r="N81"/>
  <c r="M31"/>
  <c r="N31" s="1"/>
  <c r="M98"/>
  <c r="M96" s="1"/>
  <c r="K96"/>
  <c r="I77"/>
  <c r="M14"/>
  <c r="J66"/>
  <c r="K73"/>
  <c r="I100"/>
  <c r="M82"/>
  <c r="M50"/>
  <c r="N55"/>
  <c r="N50" s="1"/>
  <c r="N20" l="1"/>
  <c r="K77"/>
  <c r="M77"/>
  <c r="M85"/>
  <c r="N85" s="1"/>
  <c r="N82"/>
  <c r="N98"/>
  <c r="N96" s="1"/>
  <c r="I20"/>
  <c r="I64" s="1"/>
  <c r="N100"/>
  <c r="O100" s="1"/>
  <c r="K100"/>
  <c r="J106"/>
  <c r="M20"/>
  <c r="O14"/>
  <c r="I102"/>
  <c r="O96"/>
  <c r="O50"/>
  <c r="K20" l="1"/>
  <c r="K102"/>
  <c r="O20"/>
  <c r="M102"/>
  <c r="F8" s="1"/>
  <c r="N77"/>
  <c r="N102" s="1"/>
  <c r="E8" s="1"/>
  <c r="K64"/>
  <c r="N64"/>
  <c r="N66" s="1"/>
  <c r="I66"/>
  <c r="I106" s="1"/>
  <c r="G8" l="1"/>
  <c r="O77"/>
  <c r="O102" s="1"/>
  <c r="K66"/>
  <c r="K106" s="1"/>
  <c r="M64"/>
  <c r="N106"/>
  <c r="E7"/>
  <c r="O64" l="1"/>
  <c r="O66" s="1"/>
  <c r="O106" s="1"/>
  <c r="M66"/>
  <c r="E9"/>
  <c r="F7" l="1"/>
  <c r="M106"/>
  <c r="F9" l="1"/>
  <c r="G9" s="1"/>
  <c r="F10" s="1"/>
  <c r="G7"/>
  <c r="E10" l="1"/>
</calcChain>
</file>

<file path=xl/sharedStrings.xml><?xml version="1.0" encoding="utf-8"?>
<sst xmlns="http://schemas.openxmlformats.org/spreadsheetml/2006/main" count="182" uniqueCount="131">
  <si>
    <t>BRAC- Chevron Social Development Program</t>
  </si>
  <si>
    <t>Poultry Hatchery</t>
  </si>
  <si>
    <t>Particulars</t>
  </si>
  <si>
    <t>Number</t>
  </si>
  <si>
    <t xml:space="preserve">Duration </t>
  </si>
  <si>
    <t>Target for the period</t>
  </si>
  <si>
    <t>Unit Cost ($)</t>
  </si>
  <si>
    <t>Q1</t>
  </si>
  <si>
    <t>Year 2</t>
  </si>
  <si>
    <t>Total Cost ($)</t>
  </si>
  <si>
    <t>Training</t>
  </si>
  <si>
    <t>1.1.1</t>
  </si>
  <si>
    <t>Training of Farm Manager</t>
  </si>
  <si>
    <t>1.1.2</t>
  </si>
  <si>
    <t xml:space="preserve">Training of Shed &amp; Hatchery Supervisor </t>
  </si>
  <si>
    <t>1.1.3</t>
  </si>
  <si>
    <t>Training of Technician</t>
  </si>
  <si>
    <t>1.1.4</t>
  </si>
  <si>
    <t>Training of Rearers</t>
  </si>
  <si>
    <t>Salary, Benefits &amp; Travelling</t>
  </si>
  <si>
    <t>1.2.1</t>
  </si>
  <si>
    <t>1.2.2</t>
  </si>
  <si>
    <t>Shed Supervisor</t>
  </si>
  <si>
    <t>1.2.3</t>
  </si>
  <si>
    <t>Hatchery Supervisor</t>
  </si>
  <si>
    <t>1.2.4</t>
  </si>
  <si>
    <t>1.2.5</t>
  </si>
  <si>
    <t>1.2.6</t>
  </si>
  <si>
    <t>Hatchery Worker</t>
  </si>
  <si>
    <t>1.2.7</t>
  </si>
  <si>
    <t>Cleaner</t>
  </si>
  <si>
    <t>1.2.8</t>
  </si>
  <si>
    <t>Driver</t>
  </si>
  <si>
    <t>1.2.9</t>
  </si>
  <si>
    <t>1.2.10</t>
  </si>
  <si>
    <t>1.2.11</t>
  </si>
  <si>
    <t>Audit, Monitoring, HR &amp; FA</t>
  </si>
  <si>
    <t>Capital Expenditure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</si>
  <si>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</si>
  <si>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</si>
  <si>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</si>
  <si>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</si>
  <si>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</si>
  <si>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</si>
  <si>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</si>
  <si>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</si>
  <si>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</si>
  <si>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Security Room</t>
  </si>
  <si>
    <t>1.3.10</t>
  </si>
  <si>
    <t>Pick-up Van</t>
  </si>
  <si>
    <t>1.3.11</t>
  </si>
  <si>
    <t>Air Conditioner</t>
  </si>
  <si>
    <t>1.3.12</t>
  </si>
  <si>
    <t>Generator</t>
  </si>
  <si>
    <t>1.3.13</t>
  </si>
  <si>
    <t>Hatchery Machine</t>
  </si>
  <si>
    <t>1.3.14</t>
  </si>
  <si>
    <t>Shed Equipments</t>
  </si>
  <si>
    <t>Running Capital</t>
  </si>
  <si>
    <t>1.4.1</t>
  </si>
  <si>
    <t>Cost of DOC</t>
  </si>
  <si>
    <t>1.4.2</t>
  </si>
  <si>
    <t>Cost of Vaccine &amp; Medicine</t>
  </si>
  <si>
    <t>1.4.3</t>
  </si>
  <si>
    <t>Cost of Feed (6 months)</t>
  </si>
  <si>
    <t>1.4.4</t>
  </si>
  <si>
    <t>1.4.5</t>
  </si>
  <si>
    <t>Office Utilities</t>
  </si>
  <si>
    <t>1.5.1</t>
  </si>
  <si>
    <t>Stationery</t>
  </si>
  <si>
    <t>Maintenance of Vehicle</t>
  </si>
  <si>
    <t>Management &amp; Logistics Support</t>
  </si>
  <si>
    <t>Total Cost for Poultry Hatchery</t>
  </si>
  <si>
    <t>Inflation Rate</t>
  </si>
  <si>
    <t>Training of Mill Suprervisor</t>
  </si>
  <si>
    <t>Mill Supervisor</t>
  </si>
  <si>
    <t>Technician</t>
  </si>
  <si>
    <t>Store Keeper</t>
  </si>
  <si>
    <t>Construction of Feed Mill</t>
  </si>
  <si>
    <t>Purchase of raw materials</t>
  </si>
  <si>
    <t>Total Amount needed for Poultry Hatchery and Feed Mill</t>
  </si>
  <si>
    <t>INCOME</t>
  </si>
  <si>
    <t>2.1.1</t>
  </si>
  <si>
    <t>Sale of Cull Egg</t>
  </si>
  <si>
    <t>2.1.2</t>
  </si>
  <si>
    <t>Sales of DOC</t>
  </si>
  <si>
    <t>2.1.3</t>
  </si>
  <si>
    <t>Sales Cull Birds</t>
  </si>
  <si>
    <t>Hatchery Room</t>
  </si>
  <si>
    <t xml:space="preserve">BRAC </t>
  </si>
  <si>
    <t>Chevron</t>
  </si>
  <si>
    <t>Balance</t>
  </si>
  <si>
    <t>Cost</t>
  </si>
  <si>
    <t>Land Lease (5 acres)</t>
  </si>
  <si>
    <t>Workers house</t>
  </si>
  <si>
    <t>Computer, Scanner &amp; Printer</t>
  </si>
  <si>
    <t>1.2.12</t>
  </si>
  <si>
    <t>Cost of Feed Mill Machineries</t>
  </si>
  <si>
    <t xml:space="preserve">Travelling </t>
  </si>
  <si>
    <t>Motorcycle</t>
  </si>
  <si>
    <t>1.5.2</t>
  </si>
  <si>
    <t>1.6.1</t>
  </si>
  <si>
    <t>Poultry Feed Mill</t>
  </si>
  <si>
    <t>Summary of the Project</t>
  </si>
  <si>
    <t>Components</t>
  </si>
  <si>
    <t>BRAC</t>
  </si>
  <si>
    <t>Contribution</t>
  </si>
  <si>
    <t>Service staff (Security Guard)</t>
  </si>
  <si>
    <t>Training of CPLP</t>
  </si>
  <si>
    <t>Budget for Poultry Hatchery &amp; Feed Mill Project (2 years)</t>
  </si>
  <si>
    <t>2 Years Expenses Sharing</t>
  </si>
  <si>
    <t xml:space="preserve">Other </t>
  </si>
  <si>
    <t>Revenue generation from Selling Eggs &amp; Birds</t>
  </si>
  <si>
    <t>Total</t>
  </si>
  <si>
    <t>Total Cost for Feed Mill</t>
  </si>
  <si>
    <t>Office cum Residence</t>
  </si>
  <si>
    <t>Litter</t>
  </si>
  <si>
    <t>Accountant (75%)</t>
  </si>
  <si>
    <t>Office Assistant (75%)</t>
  </si>
  <si>
    <t>Poultry Shed</t>
  </si>
  <si>
    <t>Warehouse</t>
  </si>
  <si>
    <t>Furniture</t>
  </si>
  <si>
    <t>Accountant (25%)</t>
  </si>
  <si>
    <t>Office Assistant (25%)</t>
  </si>
  <si>
    <t>Truck</t>
  </si>
  <si>
    <t>Fuel</t>
  </si>
  <si>
    <t>Farm &amp; Feed Mill Manager (75%)</t>
  </si>
  <si>
    <t>Farm &amp; Feed Mill Manager (25%)</t>
  </si>
  <si>
    <t>Poultry &amp; Livestock Manager (12.5%)</t>
  </si>
  <si>
    <t>Fuel Cost (Gallons/day)</t>
  </si>
  <si>
    <t>Year 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</si>
</sst>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0" fillId="1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0" fillId="2" borderId="0" xfId="1" applyFont="1" applyFill="1" applyAlignment="1">
      <alignment vertical="center"/>
    </xf>
    <xf numFmtId="164" fontId="0" fillId="2" borderId="0" xfId="1" applyNumberFormat="1" applyFont="1" applyFill="1" applyAlignment="1">
      <alignment vertical="center"/>
    </xf>
    <xf numFmtId="164" fontId="0" fillId="4" borderId="0" xfId="1" applyNumberFormat="1" applyFont="1" applyFill="1" applyAlignment="1">
      <alignment vertical="center"/>
    </xf>
    <xf numFmtId="164" fontId="4" fillId="4" borderId="0" xfId="1" applyNumberFormat="1" applyFont="1" applyFill="1" applyAlignment="1">
      <alignment vertical="center"/>
    </xf>
    <xf numFmtId="164" fontId="4" fillId="10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4" fillId="5" borderId="1" xfId="0" applyFon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9" fontId="0" fillId="2" borderId="0" xfId="2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vertical="center"/>
    </xf>
    <xf numFmtId="164" fontId="4" fillId="11" borderId="0" xfId="1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9" fontId="4" fillId="11" borderId="0" xfId="2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5" fillId="2" borderId="0" xfId="1" applyFont="1" applyFill="1" applyAlignment="1">
      <alignment horizontal="left" vertical="center" indent="2"/>
    </xf>
    <xf numFmtId="164" fontId="0" fillId="10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164" fontId="4" fillId="6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horizontal="right" vertical="center"/>
    </xf>
    <xf numFmtId="164" fontId="0" fillId="6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horizontal="center" vertical="center"/>
    </xf>
    <xf numFmtId="0" fontId="0" fillId="6" borderId="0" xfId="0" applyFont="1" applyFill="1" applyAlignment="1">
      <alignment horizontal="right" vertical="center"/>
    </xf>
    <xf numFmtId="0" fontId="0" fillId="6" borderId="0" xfId="0" applyFont="1" applyFill="1" applyAlignment="1">
      <alignment vertical="center"/>
    </xf>
    <xf numFmtId="0" fontId="8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4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164" fontId="4" fillId="12" borderId="0" xfId="0" applyNumberFormat="1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0" fontId="4" fillId="7" borderId="0" xfId="2" applyNumberFormat="1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4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43" fontId="4" fillId="2" borderId="2" xfId="0" applyNumberFormat="1" applyFont="1" applyFill="1" applyBorder="1" applyAlignment="1">
      <alignment vertical="center"/>
    </xf>
    <xf numFmtId="43" fontId="0" fillId="2" borderId="2" xfId="0" applyNumberFormat="1" applyFill="1" applyBorder="1" applyAlignment="1">
      <alignment vertical="center"/>
    </xf>
    <xf numFmtId="43" fontId="4" fillId="12" borderId="0" xfId="0" applyNumberFormat="1" applyFont="1" applyFill="1" applyAlignment="1">
      <alignment vertical="center"/>
    </xf>
    <xf numFmtId="43" fontId="4" fillId="8" borderId="0" xfId="0" applyNumberFormat="1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6"/>
  <sheetViews>
    <sheetView tabSelected="1" zoomScaleNormal="100" zoomScaleSheetLayoutView="90" workbookViewId="0">
      <pane xSplit="2" ySplit="14" topLeftCell="C15" activePane="bottomRight" state="frozen"/>
      <selection pane="topRight" activeCell="C1" sqref="C1"/>
      <selection pane="bottomLeft" activeCell="A8" sqref="A8"/>
      <selection pane="bottomRight" activeCell="A12" sqref="A12"/>
    </sheetView>
  </sheetViews>
  <sheetFormatPr defaultRowHeight="15"/>
  <cols>
    <col min="1" max="1" width="6.7109375" style="3" customWidth="1"/>
    <col min="2" max="2" width="42.28515625" style="3" bestFit="1" customWidth="1"/>
    <col min="3" max="3" width="11.28515625" style="3" customWidth="1"/>
    <col min="4" max="4" width="11.85546875" style="3" customWidth="1"/>
    <col min="5" max="5" width="15.85546875" style="3" customWidth="1"/>
    <col min="6" max="6" width="13.42578125" style="3" customWidth="1"/>
    <col min="7" max="7" width="12.140625" style="3" bestFit="1" customWidth="1"/>
    <col min="8" max="8" width="13.140625" style="3" customWidth="1"/>
    <col min="9" max="11" width="18.5703125" style="3" customWidth="1"/>
    <col min="12" max="12" width="3.7109375" style="3" customWidth="1"/>
    <col min="13" max="15" width="18.42578125" style="3" customWidth="1"/>
    <col min="16" max="16384" width="9.140625" style="3"/>
  </cols>
  <sheetData>
    <row r="1" spans="1:15" ht="23.25">
      <c r="A1" s="47" t="s">
        <v>0</v>
      </c>
      <c r="F1" s="15"/>
      <c r="G1" s="17"/>
    </row>
    <row r="2" spans="1:15" ht="21">
      <c r="A2" s="48" t="s">
        <v>109</v>
      </c>
      <c r="H2" s="17"/>
      <c r="M2" s="65"/>
    </row>
    <row r="3" spans="1:15" ht="7.5" customHeight="1">
      <c r="A3" s="2"/>
      <c r="J3" s="17"/>
    </row>
    <row r="4" spans="1:15" ht="7.5" customHeight="1">
      <c r="A4" s="2"/>
      <c r="J4" s="17"/>
    </row>
    <row r="5" spans="1:15" ht="16.5" thickBot="1">
      <c r="A5" s="49" t="s">
        <v>103</v>
      </c>
      <c r="B5" s="50"/>
      <c r="C5" s="50"/>
      <c r="E5" s="74" t="s">
        <v>106</v>
      </c>
      <c r="F5" s="74"/>
      <c r="G5" s="74"/>
      <c r="J5" s="65"/>
      <c r="N5" s="64"/>
    </row>
    <row r="6" spans="1:15" ht="15.75" thickTop="1">
      <c r="A6" s="55" t="s">
        <v>104</v>
      </c>
      <c r="B6" s="56"/>
      <c r="C6" s="57"/>
      <c r="E6" s="57" t="s">
        <v>90</v>
      </c>
      <c r="F6" s="57" t="s">
        <v>105</v>
      </c>
      <c r="G6" s="54" t="s">
        <v>113</v>
      </c>
    </row>
    <row r="7" spans="1:15">
      <c r="A7" s="9" t="s">
        <v>1</v>
      </c>
      <c r="C7" s="18"/>
      <c r="E7" s="66">
        <f>N66</f>
        <v>230948.53969800001</v>
      </c>
      <c r="F7" s="66">
        <f>M66</f>
        <v>219639.37340000001</v>
      </c>
      <c r="G7" s="64">
        <f>E7+F7</f>
        <v>450587.91309799999</v>
      </c>
    </row>
    <row r="8" spans="1:15" ht="15.75" thickBot="1">
      <c r="A8" s="22" t="s">
        <v>102</v>
      </c>
      <c r="B8" s="19"/>
      <c r="C8" s="20"/>
      <c r="E8" s="67">
        <f>N102</f>
        <v>144051.122638</v>
      </c>
      <c r="F8" s="67">
        <f>M102</f>
        <v>47945.315399999999</v>
      </c>
      <c r="G8" s="68">
        <f>E8+F8</f>
        <v>191996.43803799999</v>
      </c>
    </row>
    <row r="9" spans="1:15" ht="15.75" thickTop="1">
      <c r="A9" s="51" t="s">
        <v>9</v>
      </c>
      <c r="B9" s="52"/>
      <c r="C9" s="53"/>
      <c r="E9" s="69">
        <f t="shared" ref="E9:F9" si="0">E7+E8</f>
        <v>374999.66233600001</v>
      </c>
      <c r="F9" s="69">
        <f t="shared" si="0"/>
        <v>267584.6888</v>
      </c>
      <c r="G9" s="70">
        <f>SUM(E9:F9)</f>
        <v>642584.35113600001</v>
      </c>
    </row>
    <row r="10" spans="1:15">
      <c r="E10" s="58">
        <f>E9/G9</f>
        <v>0.58358044616718818</v>
      </c>
      <c r="F10" s="58">
        <f>F9/G9</f>
        <v>0.41641955383281182</v>
      </c>
      <c r="G10" s="10"/>
    </row>
    <row r="11" spans="1:15" ht="15.75">
      <c r="M11" s="75" t="s">
        <v>110</v>
      </c>
      <c r="N11" s="75"/>
      <c r="O11" s="75"/>
    </row>
    <row r="12" spans="1:15" s="9" customFormat="1" ht="17.25" customHeight="1">
      <c r="A12" s="45" t="s">
        <v>1</v>
      </c>
      <c r="B12" s="46"/>
      <c r="C12" s="76" t="s">
        <v>3</v>
      </c>
      <c r="D12" s="76" t="s">
        <v>4</v>
      </c>
      <c r="E12" s="76" t="s">
        <v>5</v>
      </c>
      <c r="F12" s="76" t="s">
        <v>6</v>
      </c>
      <c r="G12" s="71" t="s">
        <v>3</v>
      </c>
      <c r="H12" s="71"/>
      <c r="I12" s="77" t="s">
        <v>92</v>
      </c>
      <c r="J12" s="77"/>
      <c r="K12" s="60"/>
      <c r="M12" s="71" t="s">
        <v>89</v>
      </c>
      <c r="N12" s="71" t="s">
        <v>90</v>
      </c>
      <c r="O12" s="71" t="s">
        <v>91</v>
      </c>
    </row>
    <row r="13" spans="1:15" s="9" customFormat="1" ht="17.25" customHeight="1">
      <c r="A13" s="72" t="s">
        <v>2</v>
      </c>
      <c r="B13" s="72"/>
      <c r="C13" s="76"/>
      <c r="D13" s="76"/>
      <c r="E13" s="76"/>
      <c r="F13" s="76"/>
      <c r="G13" s="63" t="s">
        <v>130</v>
      </c>
      <c r="H13" s="63" t="s">
        <v>8</v>
      </c>
      <c r="I13" s="61" t="s">
        <v>130</v>
      </c>
      <c r="J13" s="61" t="s">
        <v>8</v>
      </c>
      <c r="K13" s="61" t="s">
        <v>9</v>
      </c>
      <c r="M13" s="71"/>
      <c r="N13" s="71"/>
      <c r="O13" s="71"/>
    </row>
    <row r="14" spans="1:15" s="8" customFormat="1" ht="17.25" customHeight="1">
      <c r="A14" s="23">
        <v>1.1000000000000001</v>
      </c>
      <c r="B14" s="24" t="s">
        <v>10</v>
      </c>
      <c r="C14" s="25"/>
      <c r="D14" s="25"/>
      <c r="E14" s="25"/>
      <c r="F14" s="25"/>
      <c r="G14" s="25"/>
      <c r="H14" s="25"/>
      <c r="I14" s="25">
        <f>SUM(I15:I18)</f>
        <v>18375</v>
      </c>
      <c r="J14" s="25">
        <f t="shared" ref="J14" si="1">SUM(J15:J18)</f>
        <v>7425.0000000000009</v>
      </c>
      <c r="K14" s="25">
        <f t="shared" ref="K14:K18" si="2">SUM(I14:J14)</f>
        <v>25800</v>
      </c>
      <c r="L14" s="11"/>
      <c r="M14" s="25">
        <f t="shared" ref="M14:N14" si="3">SUM(M15:M18)</f>
        <v>25800</v>
      </c>
      <c r="N14" s="25">
        <f t="shared" si="3"/>
        <v>0</v>
      </c>
      <c r="O14" s="25">
        <f>SUM(I14:J14)-M14-N14</f>
        <v>0</v>
      </c>
    </row>
    <row r="15" spans="1:15" s="27" customFormat="1" ht="17.25" customHeight="1">
      <c r="A15" s="26" t="s">
        <v>11</v>
      </c>
      <c r="B15" s="27" t="s">
        <v>12</v>
      </c>
      <c r="C15" s="28">
        <v>1</v>
      </c>
      <c r="D15" s="28">
        <v>3</v>
      </c>
      <c r="E15" s="28">
        <v>1</v>
      </c>
      <c r="F15" s="28">
        <v>25</v>
      </c>
      <c r="G15" s="28">
        <v>1</v>
      </c>
      <c r="H15" s="28">
        <v>0</v>
      </c>
      <c r="I15" s="28">
        <f>C15*D15*E15*F15*G15</f>
        <v>75</v>
      </c>
      <c r="J15" s="28">
        <f>C15*D15*E15*F15*H15*J68</f>
        <v>0</v>
      </c>
      <c r="K15" s="28">
        <f t="shared" si="2"/>
        <v>75</v>
      </c>
      <c r="L15" s="28"/>
      <c r="M15" s="28">
        <f>SUM(I15:J15)</f>
        <v>75</v>
      </c>
      <c r="N15" s="28">
        <f>K15-M15</f>
        <v>0</v>
      </c>
      <c r="O15" s="28"/>
    </row>
    <row r="16" spans="1:15" s="27" customFormat="1" ht="17.25" customHeight="1">
      <c r="A16" s="26" t="s">
        <v>13</v>
      </c>
      <c r="B16" s="27" t="s">
        <v>14</v>
      </c>
      <c r="C16" s="28">
        <v>2</v>
      </c>
      <c r="D16" s="28">
        <v>6</v>
      </c>
      <c r="E16" s="28">
        <v>1</v>
      </c>
      <c r="F16" s="28">
        <v>25</v>
      </c>
      <c r="G16" s="28">
        <v>1</v>
      </c>
      <c r="H16" s="28">
        <v>0</v>
      </c>
      <c r="I16" s="28">
        <f t="shared" ref="I16:I18" si="4">C16*D16*E16*F16*G16</f>
        <v>300</v>
      </c>
      <c r="J16" s="28">
        <f>C16*D16*E16*F16*H16*J68</f>
        <v>0</v>
      </c>
      <c r="K16" s="28">
        <f t="shared" si="2"/>
        <v>300</v>
      </c>
      <c r="L16" s="28"/>
      <c r="M16" s="28">
        <f t="shared" ref="M16:M18" si="5">SUM(I16:J16)</f>
        <v>300</v>
      </c>
      <c r="N16" s="28">
        <f t="shared" ref="N16:N18" si="6">K16-M16</f>
        <v>0</v>
      </c>
      <c r="O16" s="28"/>
    </row>
    <row r="17" spans="1:15" s="8" customFormat="1" ht="17.25" customHeight="1">
      <c r="A17" s="26" t="s">
        <v>15</v>
      </c>
      <c r="B17" s="8" t="s">
        <v>18</v>
      </c>
      <c r="C17" s="11">
        <f>SUM(G17:H17)</f>
        <v>1050</v>
      </c>
      <c r="D17" s="11">
        <v>3</v>
      </c>
      <c r="E17" s="11">
        <v>1</v>
      </c>
      <c r="F17" s="11">
        <v>5</v>
      </c>
      <c r="G17" s="11">
        <v>600</v>
      </c>
      <c r="H17" s="11">
        <v>450</v>
      </c>
      <c r="I17" s="11">
        <f>D17*E17*F17*G17</f>
        <v>9000</v>
      </c>
      <c r="J17" s="11">
        <f>D17*E17*F17*H17*J68</f>
        <v>7425.0000000000009</v>
      </c>
      <c r="K17" s="11">
        <f t="shared" si="2"/>
        <v>16425</v>
      </c>
      <c r="L17" s="11"/>
      <c r="M17" s="11">
        <f t="shared" si="5"/>
        <v>16425</v>
      </c>
      <c r="N17" s="28">
        <f t="shared" si="6"/>
        <v>0</v>
      </c>
      <c r="O17" s="11"/>
    </row>
    <row r="18" spans="1:15" s="8" customFormat="1" ht="17.25" customHeight="1">
      <c r="A18" s="26" t="s">
        <v>17</v>
      </c>
      <c r="B18" s="3" t="s">
        <v>108</v>
      </c>
      <c r="C18" s="11">
        <v>1</v>
      </c>
      <c r="D18" s="11">
        <v>3</v>
      </c>
      <c r="E18" s="11">
        <v>1</v>
      </c>
      <c r="F18" s="11">
        <v>15</v>
      </c>
      <c r="G18" s="11">
        <v>200</v>
      </c>
      <c r="H18" s="11">
        <v>0</v>
      </c>
      <c r="I18" s="11">
        <f t="shared" si="4"/>
        <v>9000</v>
      </c>
      <c r="J18" s="11">
        <f>C18*D18*E18*F18*H18*J68</f>
        <v>0</v>
      </c>
      <c r="K18" s="11">
        <f t="shared" si="2"/>
        <v>9000</v>
      </c>
      <c r="L18" s="11"/>
      <c r="M18" s="11">
        <f t="shared" si="5"/>
        <v>9000</v>
      </c>
      <c r="N18" s="28">
        <f t="shared" si="6"/>
        <v>0</v>
      </c>
      <c r="O18" s="11"/>
    </row>
    <row r="19" spans="1:15" s="8" customFormat="1" ht="17.25" customHeight="1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s="8" customFormat="1" ht="17.25" customHeight="1">
      <c r="A20" s="23">
        <v>1.2</v>
      </c>
      <c r="B20" s="24" t="s">
        <v>19</v>
      </c>
      <c r="C20" s="25"/>
      <c r="D20" s="25"/>
      <c r="E20" s="25"/>
      <c r="F20" s="25"/>
      <c r="G20" s="25"/>
      <c r="H20" s="25"/>
      <c r="I20" s="25">
        <f>SUM(I21:I32)</f>
        <v>39164.400000000001</v>
      </c>
      <c r="J20" s="25">
        <f>SUM(J21:J32)</f>
        <v>42409.481400000004</v>
      </c>
      <c r="K20" s="25">
        <f t="shared" ref="K20:K32" si="7">SUM(I20:J20)</f>
        <v>81573.881400000013</v>
      </c>
      <c r="L20" s="11"/>
      <c r="M20" s="25">
        <f>SUM(M21:M32)</f>
        <v>45454.373400000004</v>
      </c>
      <c r="N20" s="25">
        <f>SUM(N21:N32)</f>
        <v>36119.508000000002</v>
      </c>
      <c r="O20" s="25">
        <f>SUM(I20:J20)-M20-N20</f>
        <v>0</v>
      </c>
    </row>
    <row r="21" spans="1:15" s="8" customFormat="1" ht="17.25" customHeight="1">
      <c r="A21" s="29" t="s">
        <v>20</v>
      </c>
      <c r="B21" s="3" t="s">
        <v>128</v>
      </c>
      <c r="C21" s="11">
        <v>1</v>
      </c>
      <c r="D21" s="11">
        <v>12</v>
      </c>
      <c r="E21" s="11">
        <v>1</v>
      </c>
      <c r="F21" s="11">
        <v>1800</v>
      </c>
      <c r="G21" s="11">
        <v>1</v>
      </c>
      <c r="H21" s="11">
        <v>1</v>
      </c>
      <c r="I21" s="11">
        <f>($C21*$D21*$E21*$F21*G21)*12.5%</f>
        <v>2700</v>
      </c>
      <c r="J21" s="11">
        <f>($C21*$D21*$E21*$F21*H21*J68)*12.5%</f>
        <v>2970.0000000000005</v>
      </c>
      <c r="K21" s="11">
        <f t="shared" si="7"/>
        <v>5670</v>
      </c>
      <c r="L21" s="11"/>
      <c r="M21" s="11">
        <f>K21*63.86%</f>
        <v>3620.8619999999996</v>
      </c>
      <c r="N21" s="11">
        <f>K21-M21</f>
        <v>2049.1380000000004</v>
      </c>
      <c r="O21" s="11"/>
    </row>
    <row r="22" spans="1:15" s="8" customFormat="1" ht="17.25" customHeight="1">
      <c r="A22" s="29" t="s">
        <v>21</v>
      </c>
      <c r="B22" s="3" t="s">
        <v>126</v>
      </c>
      <c r="C22" s="11">
        <v>1</v>
      </c>
      <c r="D22" s="11">
        <v>12</v>
      </c>
      <c r="E22" s="11">
        <v>1</v>
      </c>
      <c r="F22" s="11">
        <v>1200</v>
      </c>
      <c r="G22" s="11">
        <v>1</v>
      </c>
      <c r="H22" s="11">
        <v>1</v>
      </c>
      <c r="I22" s="11">
        <f>(C22*D22*E22*F22*G22)*75%</f>
        <v>10800</v>
      </c>
      <c r="J22" s="11">
        <f>(C22*D22*E22*F22*H22*J68)*75%</f>
        <v>11880.000000000002</v>
      </c>
      <c r="K22" s="11">
        <f t="shared" si="7"/>
        <v>22680</v>
      </c>
      <c r="L22" s="11"/>
      <c r="M22" s="11">
        <f>K22*50%</f>
        <v>11340</v>
      </c>
      <c r="N22" s="11">
        <f>K22-M22</f>
        <v>11340</v>
      </c>
      <c r="O22" s="11"/>
    </row>
    <row r="23" spans="1:15" s="8" customFormat="1" ht="17.25" customHeight="1">
      <c r="A23" s="29" t="s">
        <v>23</v>
      </c>
      <c r="B23" s="8" t="s">
        <v>22</v>
      </c>
      <c r="C23" s="11">
        <v>1</v>
      </c>
      <c r="D23" s="11">
        <v>12</v>
      </c>
      <c r="E23" s="11">
        <v>1</v>
      </c>
      <c r="F23" s="11">
        <v>150</v>
      </c>
      <c r="G23" s="11">
        <v>1</v>
      </c>
      <c r="H23" s="11">
        <v>1</v>
      </c>
      <c r="I23" s="11">
        <f>C23*D23*E23*F23*G23</f>
        <v>1800</v>
      </c>
      <c r="J23" s="11">
        <f>C23*D23*E23*F23*H23*J68</f>
        <v>1980.0000000000002</v>
      </c>
      <c r="K23" s="11">
        <f t="shared" si="7"/>
        <v>3780</v>
      </c>
      <c r="L23" s="11"/>
      <c r="M23" s="11">
        <f t="shared" ref="M23:M31" si="8">K23*50%</f>
        <v>1890</v>
      </c>
      <c r="N23" s="11">
        <f t="shared" ref="N23:N31" si="9">K23-M23</f>
        <v>1890</v>
      </c>
      <c r="O23" s="11"/>
    </row>
    <row r="24" spans="1:15" s="8" customFormat="1" ht="17.25" customHeight="1">
      <c r="A24" s="29" t="s">
        <v>25</v>
      </c>
      <c r="B24" s="8" t="s">
        <v>24</v>
      </c>
      <c r="C24" s="11">
        <v>1</v>
      </c>
      <c r="D24" s="11">
        <v>12</v>
      </c>
      <c r="E24" s="11">
        <v>1</v>
      </c>
      <c r="F24" s="11">
        <v>150</v>
      </c>
      <c r="G24" s="11">
        <v>1</v>
      </c>
      <c r="H24" s="11">
        <v>1</v>
      </c>
      <c r="I24" s="11">
        <f t="shared" ref="I24:I30" si="10">C24*D24*E24*F24*G24</f>
        <v>1800</v>
      </c>
      <c r="J24" s="11">
        <f>C24*D24*E24*F24*H24*J68</f>
        <v>1980.0000000000002</v>
      </c>
      <c r="K24" s="11">
        <f t="shared" si="7"/>
        <v>3780</v>
      </c>
      <c r="L24" s="11"/>
      <c r="M24" s="11">
        <f t="shared" si="8"/>
        <v>1890</v>
      </c>
      <c r="N24" s="11">
        <f t="shared" si="9"/>
        <v>1890</v>
      </c>
      <c r="O24" s="11"/>
    </row>
    <row r="25" spans="1:15" s="8" customFormat="1" ht="17.25" customHeight="1">
      <c r="A25" s="29" t="s">
        <v>26</v>
      </c>
      <c r="B25" s="3" t="s">
        <v>117</v>
      </c>
      <c r="C25" s="11">
        <v>1</v>
      </c>
      <c r="D25" s="11">
        <v>12</v>
      </c>
      <c r="E25" s="11">
        <v>1</v>
      </c>
      <c r="F25" s="11">
        <v>150</v>
      </c>
      <c r="G25" s="11">
        <v>1</v>
      </c>
      <c r="H25" s="11">
        <v>1</v>
      </c>
      <c r="I25" s="11">
        <f>(C25*D25*E25*F25*G25)*75%</f>
        <v>1350</v>
      </c>
      <c r="J25" s="11">
        <f>(C25*D25*E25*F25*H25*J68)*75%</f>
        <v>1485.0000000000002</v>
      </c>
      <c r="K25" s="11">
        <f t="shared" si="7"/>
        <v>2835</v>
      </c>
      <c r="L25" s="11"/>
      <c r="M25" s="11">
        <f t="shared" si="8"/>
        <v>1417.5</v>
      </c>
      <c r="N25" s="11">
        <f t="shared" si="9"/>
        <v>1417.5</v>
      </c>
      <c r="O25" s="11"/>
    </row>
    <row r="26" spans="1:15" s="8" customFormat="1" ht="17.25" customHeight="1">
      <c r="A26" s="29" t="s">
        <v>27</v>
      </c>
      <c r="B26" s="3" t="s">
        <v>118</v>
      </c>
      <c r="C26" s="11">
        <v>1</v>
      </c>
      <c r="D26" s="11">
        <v>12</v>
      </c>
      <c r="E26" s="11">
        <v>1</v>
      </c>
      <c r="F26" s="11">
        <v>100</v>
      </c>
      <c r="G26" s="11">
        <v>1</v>
      </c>
      <c r="H26" s="11">
        <v>1</v>
      </c>
      <c r="I26" s="11">
        <f>(C26*D26*E26*F26*G26)*75%</f>
        <v>900</v>
      </c>
      <c r="J26" s="11">
        <f>(C26*D26*E26*F26*H26*J68)*75%</f>
        <v>990</v>
      </c>
      <c r="K26" s="11">
        <f t="shared" si="7"/>
        <v>1890</v>
      </c>
      <c r="L26" s="11"/>
      <c r="M26" s="11">
        <f t="shared" si="8"/>
        <v>945</v>
      </c>
      <c r="N26" s="11">
        <f t="shared" si="9"/>
        <v>945</v>
      </c>
      <c r="O26" s="11"/>
    </row>
    <row r="27" spans="1:15" s="8" customFormat="1" ht="17.25" customHeight="1">
      <c r="A27" s="29" t="s">
        <v>29</v>
      </c>
      <c r="B27" s="8" t="s">
        <v>28</v>
      </c>
      <c r="C27" s="11">
        <v>4</v>
      </c>
      <c r="D27" s="11">
        <v>12</v>
      </c>
      <c r="E27" s="11">
        <v>1</v>
      </c>
      <c r="F27" s="11">
        <v>100</v>
      </c>
      <c r="G27" s="11">
        <v>1</v>
      </c>
      <c r="H27" s="11">
        <v>1</v>
      </c>
      <c r="I27" s="11">
        <f t="shared" si="10"/>
        <v>4800</v>
      </c>
      <c r="J27" s="11">
        <f>C27*D27*E27*F27*H27*J68</f>
        <v>5280</v>
      </c>
      <c r="K27" s="11">
        <f t="shared" si="7"/>
        <v>10080</v>
      </c>
      <c r="L27" s="11"/>
      <c r="M27" s="11">
        <f t="shared" si="8"/>
        <v>5040</v>
      </c>
      <c r="N27" s="11">
        <f t="shared" si="9"/>
        <v>5040</v>
      </c>
      <c r="O27" s="11"/>
    </row>
    <row r="28" spans="1:15" s="8" customFormat="1" ht="17.25" customHeight="1">
      <c r="A28" s="29" t="s">
        <v>31</v>
      </c>
      <c r="B28" s="8" t="s">
        <v>30</v>
      </c>
      <c r="C28" s="11">
        <v>1</v>
      </c>
      <c r="D28" s="11">
        <v>12</v>
      </c>
      <c r="E28" s="11">
        <v>1</v>
      </c>
      <c r="F28" s="11">
        <v>85</v>
      </c>
      <c r="G28" s="11">
        <v>1</v>
      </c>
      <c r="H28" s="11">
        <v>1</v>
      </c>
      <c r="I28" s="11">
        <f t="shared" si="10"/>
        <v>1020</v>
      </c>
      <c r="J28" s="11">
        <f>C28*D28*E28*F28*H28*J68</f>
        <v>1122</v>
      </c>
      <c r="K28" s="11">
        <f t="shared" si="7"/>
        <v>2142</v>
      </c>
      <c r="L28" s="11"/>
      <c r="M28" s="11">
        <f t="shared" si="8"/>
        <v>1071</v>
      </c>
      <c r="N28" s="11">
        <f t="shared" si="9"/>
        <v>1071</v>
      </c>
      <c r="O28" s="11"/>
    </row>
    <row r="29" spans="1:15" s="8" customFormat="1" ht="17.25" customHeight="1">
      <c r="A29" s="29" t="s">
        <v>33</v>
      </c>
      <c r="B29" s="8" t="s">
        <v>32</v>
      </c>
      <c r="C29" s="11">
        <v>1</v>
      </c>
      <c r="D29" s="11">
        <v>12</v>
      </c>
      <c r="E29" s="11">
        <v>1</v>
      </c>
      <c r="F29" s="11">
        <v>175</v>
      </c>
      <c r="G29" s="11">
        <v>1</v>
      </c>
      <c r="H29" s="11">
        <v>1</v>
      </c>
      <c r="I29" s="11">
        <f t="shared" si="10"/>
        <v>2100</v>
      </c>
      <c r="J29" s="11">
        <f>C29*D29*E29*F29*H29*J68</f>
        <v>2310</v>
      </c>
      <c r="K29" s="11">
        <f t="shared" si="7"/>
        <v>4410</v>
      </c>
      <c r="L29" s="11"/>
      <c r="M29" s="11">
        <f t="shared" si="8"/>
        <v>2205</v>
      </c>
      <c r="N29" s="11">
        <f t="shared" si="9"/>
        <v>2205</v>
      </c>
      <c r="O29" s="11"/>
    </row>
    <row r="30" spans="1:15" s="8" customFormat="1" ht="17.25" customHeight="1">
      <c r="A30" s="29" t="s">
        <v>34</v>
      </c>
      <c r="B30" s="3" t="s">
        <v>107</v>
      </c>
      <c r="C30" s="11">
        <v>1</v>
      </c>
      <c r="D30" s="11">
        <v>12</v>
      </c>
      <c r="E30" s="11">
        <v>1</v>
      </c>
      <c r="F30" s="11">
        <v>100</v>
      </c>
      <c r="G30" s="11">
        <v>2</v>
      </c>
      <c r="H30" s="11">
        <v>1</v>
      </c>
      <c r="I30" s="11">
        <f t="shared" si="10"/>
        <v>2400</v>
      </c>
      <c r="J30" s="11">
        <f>C30*D30*E30*F30*H30*J68</f>
        <v>1320</v>
      </c>
      <c r="K30" s="11">
        <f t="shared" si="7"/>
        <v>3720</v>
      </c>
      <c r="L30" s="11"/>
      <c r="M30" s="11">
        <f t="shared" si="8"/>
        <v>1860</v>
      </c>
      <c r="N30" s="11">
        <f t="shared" si="9"/>
        <v>1860</v>
      </c>
      <c r="O30" s="11"/>
    </row>
    <row r="31" spans="1:15" s="8" customFormat="1" ht="17.25" customHeight="1">
      <c r="A31" s="29" t="s">
        <v>35</v>
      </c>
      <c r="B31" s="3" t="s">
        <v>98</v>
      </c>
      <c r="C31" s="11">
        <v>1</v>
      </c>
      <c r="D31" s="11">
        <v>0</v>
      </c>
      <c r="E31" s="11">
        <v>0</v>
      </c>
      <c r="F31" s="21">
        <v>0.2</v>
      </c>
      <c r="G31" s="11">
        <v>0</v>
      </c>
      <c r="H31" s="11">
        <v>0</v>
      </c>
      <c r="I31" s="11">
        <f>SUM(I21:I30)*F31</f>
        <v>5934</v>
      </c>
      <c r="J31" s="11">
        <f>SUM(J21:J30)*F31*J68</f>
        <v>6889.7400000000025</v>
      </c>
      <c r="K31" s="11">
        <f t="shared" si="7"/>
        <v>12823.740000000002</v>
      </c>
      <c r="L31" s="11"/>
      <c r="M31" s="11">
        <f t="shared" si="8"/>
        <v>6411.8700000000008</v>
      </c>
      <c r="N31" s="11">
        <f t="shared" si="9"/>
        <v>6411.8700000000008</v>
      </c>
      <c r="O31" s="11"/>
    </row>
    <row r="32" spans="1:15" s="8" customFormat="1" ht="17.25" customHeight="1">
      <c r="A32" s="29" t="s">
        <v>96</v>
      </c>
      <c r="B32" s="8" t="s">
        <v>36</v>
      </c>
      <c r="C32" s="11">
        <v>1</v>
      </c>
      <c r="D32" s="11">
        <v>0</v>
      </c>
      <c r="E32" s="11">
        <v>0</v>
      </c>
      <c r="F32" s="21">
        <v>0.1</v>
      </c>
      <c r="G32" s="11">
        <v>0</v>
      </c>
      <c r="H32" s="11">
        <v>0</v>
      </c>
      <c r="I32" s="11">
        <f>SUM(I21:I31)*F32</f>
        <v>3560.4</v>
      </c>
      <c r="J32" s="11">
        <f>SUM(J21:J31)*F32*J68</f>
        <v>4202.7414000000017</v>
      </c>
      <c r="K32" s="11">
        <f t="shared" si="7"/>
        <v>7763.1414000000022</v>
      </c>
      <c r="L32" s="11"/>
      <c r="M32" s="11">
        <f>K32</f>
        <v>7763.1414000000022</v>
      </c>
      <c r="N32" s="11">
        <v>0</v>
      </c>
      <c r="O32" s="11"/>
    </row>
    <row r="33" spans="1:15" s="8" customFormat="1" ht="17.25" customHeight="1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s="8" customFormat="1" ht="17.25" customHeight="1">
      <c r="A34" s="23">
        <v>1.3</v>
      </c>
      <c r="B34" s="24" t="s">
        <v>37</v>
      </c>
      <c r="C34" s="25"/>
      <c r="D34" s="25"/>
      <c r="E34" s="25"/>
      <c r="F34" s="25"/>
      <c r="G34" s="25"/>
      <c r="H34" s="25"/>
      <c r="I34" s="25">
        <f>SUM(I35:I48)</f>
        <v>160713</v>
      </c>
      <c r="J34" s="25">
        <f t="shared" ref="J34:K34" si="11">SUM(J35:J48)</f>
        <v>0</v>
      </c>
      <c r="K34" s="25">
        <f t="shared" si="11"/>
        <v>160713</v>
      </c>
      <c r="L34" s="11"/>
      <c r="M34" s="25">
        <f>SUM(M35:M47)</f>
        <v>12500</v>
      </c>
      <c r="N34" s="25">
        <f>SUM(N35:N48)</f>
        <v>148213</v>
      </c>
      <c r="O34" s="25">
        <f>SUM(I34:J34)-M34-N34</f>
        <v>0</v>
      </c>
    </row>
    <row r="35" spans="1:15" s="8" customFormat="1" ht="17.25" customHeight="1">
      <c r="A35" s="29" t="s">
        <v>38</v>
      </c>
      <c r="B35" s="8" t="s">
        <v>93</v>
      </c>
      <c r="C35" s="11">
        <v>5</v>
      </c>
      <c r="D35" s="11">
        <v>1</v>
      </c>
      <c r="E35" s="11">
        <v>1</v>
      </c>
      <c r="F35" s="11">
        <v>2500</v>
      </c>
      <c r="G35" s="11">
        <v>1</v>
      </c>
      <c r="H35" s="11">
        <v>0</v>
      </c>
      <c r="I35" s="11">
        <f>C35*D35*E35*F35</f>
        <v>12500</v>
      </c>
      <c r="J35" s="11">
        <f>C35*D35*E35*F35*H35*J68</f>
        <v>0</v>
      </c>
      <c r="K35" s="11">
        <f t="shared" ref="K35:K47" si="12">SUM(I35:J35)</f>
        <v>12500</v>
      </c>
      <c r="L35" s="11"/>
      <c r="M35" s="11">
        <f>K35</f>
        <v>12500</v>
      </c>
      <c r="N35" s="11">
        <v>0</v>
      </c>
      <c r="O35" s="11"/>
    </row>
    <row r="36" spans="1:15" s="8" customFormat="1" ht="17.25" customHeight="1">
      <c r="A36" s="29" t="s">
        <v>39</v>
      </c>
      <c r="B36" s="3" t="s">
        <v>115</v>
      </c>
      <c r="C36" s="11">
        <v>1</v>
      </c>
      <c r="D36" s="11">
        <v>1</v>
      </c>
      <c r="E36" s="11">
        <v>1</v>
      </c>
      <c r="F36" s="11">
        <v>15000</v>
      </c>
      <c r="G36" s="11">
        <v>1</v>
      </c>
      <c r="H36" s="11">
        <v>0</v>
      </c>
      <c r="I36" s="11">
        <f t="shared" ref="I36:I48" si="13">C36*D36*E36*F36*G36</f>
        <v>15000</v>
      </c>
      <c r="J36" s="11">
        <f>C36*D36*E36*F36*H36*J68</f>
        <v>0</v>
      </c>
      <c r="K36" s="11">
        <f t="shared" si="12"/>
        <v>15000</v>
      </c>
      <c r="L36" s="11"/>
      <c r="M36" s="11">
        <v>0</v>
      </c>
      <c r="N36" s="11">
        <f>SUM(I36:J36)</f>
        <v>15000</v>
      </c>
      <c r="O36" s="11"/>
    </row>
    <row r="37" spans="1:15" s="8" customFormat="1" ht="17.25" customHeight="1">
      <c r="A37" s="29" t="s">
        <v>40</v>
      </c>
      <c r="B37" s="3" t="s">
        <v>119</v>
      </c>
      <c r="C37" s="11">
        <v>1</v>
      </c>
      <c r="D37" s="11">
        <v>1</v>
      </c>
      <c r="E37" s="11">
        <v>1</v>
      </c>
      <c r="F37" s="11">
        <v>40000</v>
      </c>
      <c r="G37" s="11">
        <v>1</v>
      </c>
      <c r="H37" s="11">
        <v>0</v>
      </c>
      <c r="I37" s="11">
        <f t="shared" si="13"/>
        <v>40000</v>
      </c>
      <c r="J37" s="11">
        <f>C37*D37*E37*F37*H37*J68</f>
        <v>0</v>
      </c>
      <c r="K37" s="11">
        <f t="shared" si="12"/>
        <v>40000</v>
      </c>
      <c r="L37" s="11"/>
      <c r="M37" s="11">
        <v>0</v>
      </c>
      <c r="N37" s="11">
        <f t="shared" ref="N37:N46" si="14">SUM(I37:J37)</f>
        <v>40000</v>
      </c>
      <c r="O37" s="11"/>
    </row>
    <row r="38" spans="1:15" s="8" customFormat="1" ht="17.25" customHeight="1">
      <c r="A38" s="29" t="s">
        <v>41</v>
      </c>
      <c r="B38" s="3" t="s">
        <v>120</v>
      </c>
      <c r="C38" s="11">
        <v>1</v>
      </c>
      <c r="D38" s="11">
        <v>1</v>
      </c>
      <c r="E38" s="11">
        <v>1</v>
      </c>
      <c r="F38" s="11">
        <v>4000</v>
      </c>
      <c r="G38" s="11">
        <v>1</v>
      </c>
      <c r="H38" s="11">
        <v>0</v>
      </c>
      <c r="I38" s="11">
        <f t="shared" si="13"/>
        <v>4000</v>
      </c>
      <c r="J38" s="11">
        <f>C38*D38*E38*F38*H38*J68</f>
        <v>0</v>
      </c>
      <c r="K38" s="11">
        <f t="shared" si="12"/>
        <v>4000</v>
      </c>
      <c r="L38" s="11"/>
      <c r="M38" s="11">
        <v>0</v>
      </c>
      <c r="N38" s="11">
        <f t="shared" si="14"/>
        <v>4000</v>
      </c>
      <c r="O38" s="11"/>
    </row>
    <row r="39" spans="1:15" s="8" customFormat="1" ht="17.25" customHeight="1">
      <c r="A39" s="29" t="s">
        <v>42</v>
      </c>
      <c r="B39" s="8" t="s">
        <v>88</v>
      </c>
      <c r="C39" s="11">
        <v>1</v>
      </c>
      <c r="D39" s="11">
        <v>1</v>
      </c>
      <c r="E39" s="11">
        <v>1</v>
      </c>
      <c r="F39" s="11">
        <v>3000</v>
      </c>
      <c r="G39" s="11">
        <v>1</v>
      </c>
      <c r="H39" s="11">
        <v>0</v>
      </c>
      <c r="I39" s="11">
        <f t="shared" si="13"/>
        <v>3000</v>
      </c>
      <c r="J39" s="11">
        <f>C39*D39*E39*F39*H39*J68</f>
        <v>0</v>
      </c>
      <c r="K39" s="11">
        <f t="shared" si="12"/>
        <v>3000</v>
      </c>
      <c r="L39" s="11"/>
      <c r="M39" s="11">
        <v>0</v>
      </c>
      <c r="N39" s="11">
        <f t="shared" si="14"/>
        <v>3000</v>
      </c>
      <c r="O39" s="11"/>
    </row>
    <row r="40" spans="1:15" s="8" customFormat="1" ht="17.25" customHeight="1">
      <c r="A40" s="29" t="s">
        <v>43</v>
      </c>
      <c r="B40" s="8" t="s">
        <v>94</v>
      </c>
      <c r="C40" s="11">
        <v>1</v>
      </c>
      <c r="D40" s="11">
        <v>1</v>
      </c>
      <c r="E40" s="11">
        <v>1</v>
      </c>
      <c r="F40" s="11">
        <v>10000</v>
      </c>
      <c r="G40" s="11">
        <v>1</v>
      </c>
      <c r="H40" s="11">
        <v>0</v>
      </c>
      <c r="I40" s="11">
        <f t="shared" si="13"/>
        <v>10000</v>
      </c>
      <c r="J40" s="11">
        <f>C40*D40*E40*F40*H40*J68</f>
        <v>0</v>
      </c>
      <c r="K40" s="11">
        <f t="shared" si="12"/>
        <v>10000</v>
      </c>
      <c r="L40" s="11"/>
      <c r="M40" s="11">
        <v>0</v>
      </c>
      <c r="N40" s="11">
        <f t="shared" si="14"/>
        <v>10000</v>
      </c>
      <c r="O40" s="11"/>
    </row>
    <row r="41" spans="1:15" s="8" customFormat="1" ht="17.25" customHeight="1">
      <c r="A41" s="29" t="s">
        <v>44</v>
      </c>
      <c r="B41" s="8" t="s">
        <v>47</v>
      </c>
      <c r="C41" s="11">
        <v>1</v>
      </c>
      <c r="D41" s="11">
        <v>1</v>
      </c>
      <c r="E41" s="11">
        <v>1</v>
      </c>
      <c r="F41" s="11">
        <v>2000</v>
      </c>
      <c r="G41" s="11">
        <v>1</v>
      </c>
      <c r="H41" s="11">
        <v>0</v>
      </c>
      <c r="I41" s="11">
        <f t="shared" si="13"/>
        <v>2000</v>
      </c>
      <c r="J41" s="11">
        <f>C41*D41*E41*F41*H41*J68</f>
        <v>0</v>
      </c>
      <c r="K41" s="11">
        <f t="shared" si="12"/>
        <v>2000</v>
      </c>
      <c r="L41" s="11"/>
      <c r="M41" s="11">
        <v>0</v>
      </c>
      <c r="N41" s="11">
        <f t="shared" si="14"/>
        <v>2000</v>
      </c>
      <c r="O41" s="11"/>
    </row>
    <row r="42" spans="1:15" s="8" customFormat="1" ht="17.25" customHeight="1">
      <c r="A42" s="29" t="s">
        <v>45</v>
      </c>
      <c r="B42" s="8" t="s">
        <v>49</v>
      </c>
      <c r="C42" s="11">
        <v>1</v>
      </c>
      <c r="D42" s="11">
        <v>1</v>
      </c>
      <c r="E42" s="11">
        <v>1</v>
      </c>
      <c r="F42" s="11">
        <v>25000</v>
      </c>
      <c r="G42" s="11">
        <v>1</v>
      </c>
      <c r="H42" s="11">
        <v>0</v>
      </c>
      <c r="I42" s="11">
        <f t="shared" si="13"/>
        <v>25000</v>
      </c>
      <c r="J42" s="11">
        <f>C42*D42*E42*F42*H42*J68</f>
        <v>0</v>
      </c>
      <c r="K42" s="11">
        <f t="shared" si="12"/>
        <v>25000</v>
      </c>
      <c r="L42" s="11"/>
      <c r="M42" s="11">
        <v>0</v>
      </c>
      <c r="N42" s="11">
        <f t="shared" si="14"/>
        <v>25000</v>
      </c>
      <c r="O42" s="11"/>
    </row>
    <row r="43" spans="1:15" s="8" customFormat="1" ht="17.25" customHeight="1">
      <c r="A43" s="29" t="s">
        <v>46</v>
      </c>
      <c r="B43" s="8" t="s">
        <v>51</v>
      </c>
      <c r="C43" s="11">
        <v>2</v>
      </c>
      <c r="D43" s="11">
        <v>1</v>
      </c>
      <c r="E43" s="11">
        <v>1</v>
      </c>
      <c r="F43" s="11">
        <v>1500</v>
      </c>
      <c r="G43" s="11">
        <v>1</v>
      </c>
      <c r="H43" s="11">
        <v>0</v>
      </c>
      <c r="I43" s="11">
        <f t="shared" si="13"/>
        <v>3000</v>
      </c>
      <c r="J43" s="11">
        <f>C43*D43*E43*F43*H43*J68</f>
        <v>0</v>
      </c>
      <c r="K43" s="11">
        <f t="shared" si="12"/>
        <v>3000</v>
      </c>
      <c r="L43" s="11"/>
      <c r="M43" s="11">
        <v>0</v>
      </c>
      <c r="N43" s="11">
        <f t="shared" si="14"/>
        <v>3000</v>
      </c>
      <c r="O43" s="11"/>
    </row>
    <row r="44" spans="1:15" s="8" customFormat="1" ht="17.25" customHeight="1">
      <c r="A44" s="29" t="s">
        <v>48</v>
      </c>
      <c r="B44" s="8" t="s">
        <v>53</v>
      </c>
      <c r="C44" s="11">
        <v>2</v>
      </c>
      <c r="D44" s="11">
        <v>1</v>
      </c>
      <c r="E44" s="11">
        <v>1</v>
      </c>
      <c r="F44" s="11">
        <v>7500</v>
      </c>
      <c r="G44" s="11">
        <v>1</v>
      </c>
      <c r="H44" s="11">
        <v>0</v>
      </c>
      <c r="I44" s="11">
        <f t="shared" si="13"/>
        <v>15000</v>
      </c>
      <c r="J44" s="11">
        <f>C44*D44*E44*F44*H44*J68</f>
        <v>0</v>
      </c>
      <c r="K44" s="11">
        <f t="shared" si="12"/>
        <v>15000</v>
      </c>
      <c r="L44" s="11"/>
      <c r="M44" s="11">
        <v>0</v>
      </c>
      <c r="N44" s="11">
        <f t="shared" si="14"/>
        <v>15000</v>
      </c>
      <c r="O44" s="11"/>
    </row>
    <row r="45" spans="1:15" s="8" customFormat="1" ht="17.25" customHeight="1">
      <c r="A45" s="29" t="s">
        <v>50</v>
      </c>
      <c r="B45" s="8" t="s">
        <v>55</v>
      </c>
      <c r="C45" s="11">
        <v>1</v>
      </c>
      <c r="D45" s="11">
        <v>1</v>
      </c>
      <c r="E45" s="11">
        <v>1</v>
      </c>
      <c r="F45" s="11">
        <v>20000</v>
      </c>
      <c r="G45" s="11">
        <v>1</v>
      </c>
      <c r="H45" s="11">
        <v>0</v>
      </c>
      <c r="I45" s="11">
        <f t="shared" si="13"/>
        <v>20000</v>
      </c>
      <c r="J45" s="11">
        <f>C45*D45*E45*F45*H45*J68</f>
        <v>0</v>
      </c>
      <c r="K45" s="11">
        <f t="shared" si="12"/>
        <v>20000</v>
      </c>
      <c r="L45" s="11"/>
      <c r="M45" s="11">
        <v>0</v>
      </c>
      <c r="N45" s="11">
        <f t="shared" si="14"/>
        <v>20000</v>
      </c>
      <c r="O45" s="11"/>
    </row>
    <row r="46" spans="1:15" s="8" customFormat="1" ht="17.25" customHeight="1">
      <c r="A46" s="29" t="s">
        <v>52</v>
      </c>
      <c r="B46" s="8" t="s">
        <v>57</v>
      </c>
      <c r="C46" s="11">
        <v>1</v>
      </c>
      <c r="D46" s="11">
        <v>1</v>
      </c>
      <c r="E46" s="11">
        <v>1</v>
      </c>
      <c r="F46" s="11">
        <v>8413</v>
      </c>
      <c r="G46" s="11">
        <v>1</v>
      </c>
      <c r="H46" s="11">
        <v>0</v>
      </c>
      <c r="I46" s="11">
        <f t="shared" si="13"/>
        <v>8413</v>
      </c>
      <c r="J46" s="11">
        <f>C46*D46*E46*F46*H46*J68</f>
        <v>0</v>
      </c>
      <c r="K46" s="11">
        <f t="shared" si="12"/>
        <v>8413</v>
      </c>
      <c r="L46" s="11"/>
      <c r="M46" s="11">
        <v>0</v>
      </c>
      <c r="N46" s="11">
        <f t="shared" si="14"/>
        <v>8413</v>
      </c>
      <c r="O46" s="11"/>
    </row>
    <row r="47" spans="1:15" s="8" customFormat="1" ht="17.25" customHeight="1">
      <c r="A47" s="29" t="s">
        <v>54</v>
      </c>
      <c r="B47" s="8" t="s">
        <v>95</v>
      </c>
      <c r="C47" s="11">
        <v>1</v>
      </c>
      <c r="D47" s="11">
        <v>1</v>
      </c>
      <c r="E47" s="11">
        <v>1</v>
      </c>
      <c r="F47" s="11">
        <v>1800</v>
      </c>
      <c r="G47" s="11">
        <v>1</v>
      </c>
      <c r="H47" s="11">
        <v>0</v>
      </c>
      <c r="I47" s="11">
        <f t="shared" si="13"/>
        <v>1800</v>
      </c>
      <c r="J47" s="11">
        <f>C47*D47*E47*F47*H47*J69</f>
        <v>0</v>
      </c>
      <c r="K47" s="11">
        <f t="shared" si="12"/>
        <v>1800</v>
      </c>
      <c r="L47" s="11"/>
      <c r="M47" s="11">
        <v>0</v>
      </c>
      <c r="N47" s="11">
        <f>K47-M47</f>
        <v>1800</v>
      </c>
      <c r="O47" s="11"/>
    </row>
    <row r="48" spans="1:15" s="8" customFormat="1" ht="17.25" customHeight="1">
      <c r="A48" s="29" t="s">
        <v>56</v>
      </c>
      <c r="B48" s="3" t="s">
        <v>121</v>
      </c>
      <c r="C48" s="11">
        <v>1</v>
      </c>
      <c r="D48" s="11">
        <v>1</v>
      </c>
      <c r="E48" s="11">
        <v>1</v>
      </c>
      <c r="F48" s="11">
        <v>1000</v>
      </c>
      <c r="G48" s="11">
        <v>1</v>
      </c>
      <c r="H48" s="11">
        <v>0</v>
      </c>
      <c r="I48" s="11">
        <f t="shared" si="13"/>
        <v>1000</v>
      </c>
      <c r="J48" s="11">
        <f>C48*D48*E48*F48*H48*J70</f>
        <v>0</v>
      </c>
      <c r="K48" s="11">
        <f t="shared" ref="K48" si="15">SUM(I48:J48)</f>
        <v>1000</v>
      </c>
      <c r="L48" s="11"/>
      <c r="M48" s="11">
        <v>0</v>
      </c>
      <c r="N48" s="11">
        <f>K48-M48</f>
        <v>1000</v>
      </c>
      <c r="O48" s="11"/>
    </row>
    <row r="49" spans="1:15" s="8" customFormat="1" ht="9.75" customHeight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s="8" customFormat="1" ht="17.25" customHeight="1">
      <c r="A50" s="23">
        <v>1.4</v>
      </c>
      <c r="B50" s="24" t="s">
        <v>58</v>
      </c>
      <c r="C50" s="25"/>
      <c r="D50" s="25"/>
      <c r="E50" s="25"/>
      <c r="F50" s="25"/>
      <c r="G50" s="25"/>
      <c r="H50" s="25"/>
      <c r="I50" s="25">
        <f>SUM(I51:I55)</f>
        <v>33150</v>
      </c>
      <c r="J50" s="25">
        <f t="shared" ref="J50" si="16">SUM(J51:J55)</f>
        <v>14245.000000000002</v>
      </c>
      <c r="K50" s="25">
        <f t="shared" ref="K50:K55" si="17">SUM(I50:J50)</f>
        <v>47395</v>
      </c>
      <c r="L50" s="11"/>
      <c r="M50" s="25">
        <f>SUM(M51:M55)</f>
        <v>22995</v>
      </c>
      <c r="N50" s="25">
        <f>SUM(N51:N55)</f>
        <v>24400</v>
      </c>
      <c r="O50" s="25">
        <f>SUM(I50:J50)-M50-N50</f>
        <v>0</v>
      </c>
    </row>
    <row r="51" spans="1:15" s="8" customFormat="1" ht="17.25" customHeight="1">
      <c r="A51" s="29" t="s">
        <v>59</v>
      </c>
      <c r="B51" s="8" t="s">
        <v>60</v>
      </c>
      <c r="C51" s="11">
        <v>1</v>
      </c>
      <c r="D51" s="11">
        <v>1</v>
      </c>
      <c r="E51" s="11">
        <v>1</v>
      </c>
      <c r="F51" s="11">
        <v>6</v>
      </c>
      <c r="G51" s="11">
        <v>1000</v>
      </c>
      <c r="H51" s="11">
        <v>0</v>
      </c>
      <c r="I51" s="11">
        <f>C51*D51*E51*F51*G51</f>
        <v>6000</v>
      </c>
      <c r="J51" s="11">
        <f>C51*D51*E51*F51*H51*J68</f>
        <v>0</v>
      </c>
      <c r="K51" s="11">
        <f t="shared" si="17"/>
        <v>6000</v>
      </c>
      <c r="L51" s="11"/>
      <c r="M51" s="11">
        <v>0</v>
      </c>
      <c r="N51" s="11">
        <f>K51</f>
        <v>6000</v>
      </c>
      <c r="O51" s="11"/>
    </row>
    <row r="52" spans="1:15" s="8" customFormat="1" ht="17.25" customHeight="1">
      <c r="A52" s="29" t="s">
        <v>61</v>
      </c>
      <c r="B52" s="8" t="s">
        <v>62</v>
      </c>
      <c r="C52" s="11">
        <v>1</v>
      </c>
      <c r="D52" s="11">
        <v>1</v>
      </c>
      <c r="E52" s="11">
        <v>1</v>
      </c>
      <c r="F52" s="11">
        <v>1</v>
      </c>
      <c r="G52" s="11">
        <v>1</v>
      </c>
      <c r="H52" s="11">
        <v>1</v>
      </c>
      <c r="I52" s="11">
        <v>5000</v>
      </c>
      <c r="J52" s="11">
        <f>2000*J68</f>
        <v>2200</v>
      </c>
      <c r="K52" s="11">
        <f t="shared" si="17"/>
        <v>7200</v>
      </c>
      <c r="L52" s="11"/>
      <c r="M52" s="11">
        <v>0</v>
      </c>
      <c r="N52" s="11">
        <f t="shared" ref="N52:N54" si="18">K52</f>
        <v>7200</v>
      </c>
      <c r="O52" s="11"/>
    </row>
    <row r="53" spans="1:15" s="8" customFormat="1" ht="17.25" customHeight="1">
      <c r="A53" s="29" t="s">
        <v>63</v>
      </c>
      <c r="B53" s="8" t="s">
        <v>64</v>
      </c>
      <c r="C53" s="11">
        <v>1</v>
      </c>
      <c r="D53" s="11">
        <v>1</v>
      </c>
      <c r="E53" s="11">
        <v>1</v>
      </c>
      <c r="F53" s="10">
        <v>0.48</v>
      </c>
      <c r="G53" s="11">
        <f>G51*15</f>
        <v>15000</v>
      </c>
      <c r="H53" s="11"/>
      <c r="I53" s="11">
        <f t="shared" ref="I53:I54" si="19">C53*D53*E53*F53*G53</f>
        <v>7200</v>
      </c>
      <c r="J53" s="11">
        <f>C53*D53*E53*F53*H53*J68</f>
        <v>0</v>
      </c>
      <c r="K53" s="11">
        <f t="shared" si="17"/>
        <v>7200</v>
      </c>
      <c r="L53" s="11"/>
      <c r="M53" s="11">
        <v>0</v>
      </c>
      <c r="N53" s="11">
        <f t="shared" si="18"/>
        <v>7200</v>
      </c>
      <c r="O53" s="11"/>
    </row>
    <row r="54" spans="1:15" s="8" customFormat="1" ht="17.25" customHeight="1">
      <c r="A54" s="29" t="s">
        <v>65</v>
      </c>
      <c r="B54" s="3" t="s">
        <v>116</v>
      </c>
      <c r="C54" s="11">
        <v>1</v>
      </c>
      <c r="D54" s="11">
        <v>1</v>
      </c>
      <c r="E54" s="11">
        <v>1</v>
      </c>
      <c r="F54" s="11">
        <v>4000</v>
      </c>
      <c r="G54" s="11">
        <v>1</v>
      </c>
      <c r="H54" s="11">
        <v>0</v>
      </c>
      <c r="I54" s="11">
        <f t="shared" si="19"/>
        <v>4000</v>
      </c>
      <c r="J54" s="11">
        <f>C54*D54*E54*F54*H54*J68</f>
        <v>0</v>
      </c>
      <c r="K54" s="11">
        <f t="shared" si="17"/>
        <v>4000</v>
      </c>
      <c r="L54" s="11"/>
      <c r="M54" s="11">
        <v>0</v>
      </c>
      <c r="N54" s="11">
        <f t="shared" si="18"/>
        <v>4000</v>
      </c>
      <c r="O54" s="11"/>
    </row>
    <row r="55" spans="1:15" s="8" customFormat="1" ht="17.25" customHeight="1">
      <c r="A55" s="29" t="s">
        <v>66</v>
      </c>
      <c r="B55" s="3" t="s">
        <v>129</v>
      </c>
      <c r="C55" s="10">
        <f>0.5*12</f>
        <v>6</v>
      </c>
      <c r="D55" s="11">
        <v>365</v>
      </c>
      <c r="E55" s="11">
        <v>1</v>
      </c>
      <c r="F55" s="11">
        <v>5</v>
      </c>
      <c r="G55" s="11">
        <f>C55*D55</f>
        <v>2190</v>
      </c>
      <c r="H55" s="11">
        <f>C55*D55</f>
        <v>2190</v>
      </c>
      <c r="I55" s="11">
        <f>F55*G55</f>
        <v>10950</v>
      </c>
      <c r="J55" s="11">
        <f>F55*H55*J68</f>
        <v>12045.000000000002</v>
      </c>
      <c r="K55" s="11">
        <f t="shared" si="17"/>
        <v>22995</v>
      </c>
      <c r="L55" s="11"/>
      <c r="M55" s="11">
        <f>K55*100%</f>
        <v>22995</v>
      </c>
      <c r="N55" s="11">
        <f>K55-M55</f>
        <v>0</v>
      </c>
      <c r="O55" s="11"/>
    </row>
    <row r="56" spans="1:15" s="8" customFormat="1" ht="8.25" customHeight="1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s="8" customFormat="1" ht="17.25" customHeight="1">
      <c r="A57" s="23">
        <v>1.5</v>
      </c>
      <c r="B57" s="24" t="s">
        <v>67</v>
      </c>
      <c r="C57" s="25"/>
      <c r="D57" s="25"/>
      <c r="E57" s="25"/>
      <c r="F57" s="25"/>
      <c r="G57" s="25"/>
      <c r="H57" s="25"/>
      <c r="I57" s="25">
        <f>SUM(I58:I59)</f>
        <v>900</v>
      </c>
      <c r="J57" s="25">
        <f t="shared" ref="J57" si="20">SUM(J58:J59)</f>
        <v>990</v>
      </c>
      <c r="K57" s="25">
        <f>SUM(I57:J57)</f>
        <v>1890</v>
      </c>
      <c r="L57" s="11"/>
      <c r="M57" s="25">
        <f>SUM(M58:M59)</f>
        <v>1890</v>
      </c>
      <c r="N57" s="25">
        <f>SUM(N58:N59)</f>
        <v>0</v>
      </c>
      <c r="O57" s="25">
        <f>SUM(I57:J57)-M57-N57</f>
        <v>0</v>
      </c>
    </row>
    <row r="58" spans="1:15" s="8" customFormat="1" ht="17.25" customHeight="1">
      <c r="A58" s="29" t="s">
        <v>68</v>
      </c>
      <c r="B58" s="8" t="s">
        <v>69</v>
      </c>
      <c r="C58" s="11">
        <v>1</v>
      </c>
      <c r="D58" s="11">
        <v>12</v>
      </c>
      <c r="E58" s="11">
        <v>1</v>
      </c>
      <c r="F58" s="11">
        <v>25</v>
      </c>
      <c r="G58" s="11">
        <v>1</v>
      </c>
      <c r="H58" s="11">
        <v>1</v>
      </c>
      <c r="I58" s="11">
        <f>C58*D58*E58*F58*G58</f>
        <v>300</v>
      </c>
      <c r="J58" s="11">
        <f>C58*D58*E58*F58*H58*J68</f>
        <v>330</v>
      </c>
      <c r="K58" s="11">
        <f>SUM(I58:J58)</f>
        <v>630</v>
      </c>
      <c r="L58" s="11"/>
      <c r="M58" s="11">
        <v>630</v>
      </c>
      <c r="N58" s="11">
        <f>K58-M58</f>
        <v>0</v>
      </c>
      <c r="O58" s="11"/>
    </row>
    <row r="59" spans="1:15" s="8" customFormat="1" ht="17.25" customHeight="1">
      <c r="A59" s="29" t="s">
        <v>100</v>
      </c>
      <c r="B59" s="8" t="s">
        <v>70</v>
      </c>
      <c r="C59" s="11">
        <v>1</v>
      </c>
      <c r="D59" s="11">
        <v>12</v>
      </c>
      <c r="E59" s="11">
        <v>1</v>
      </c>
      <c r="F59" s="11">
        <v>50</v>
      </c>
      <c r="G59" s="11">
        <v>1</v>
      </c>
      <c r="H59" s="11">
        <v>1</v>
      </c>
      <c r="I59" s="11">
        <f>C59*D59*E59*F59*G59</f>
        <v>600</v>
      </c>
      <c r="J59" s="11">
        <f>C59*D59*E59*F59*H59*J68</f>
        <v>660</v>
      </c>
      <c r="K59" s="11">
        <f>SUM(I59:J59)</f>
        <v>1260</v>
      </c>
      <c r="L59" s="11"/>
      <c r="M59" s="11">
        <v>1260</v>
      </c>
      <c r="N59" s="11">
        <f>K59-M59</f>
        <v>0</v>
      </c>
      <c r="O59" s="11"/>
    </row>
    <row r="60" spans="1:15" s="8" customFormat="1" ht="12" customHeight="1">
      <c r="A60" s="29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s="8" customFormat="1" ht="17.25" customHeight="1">
      <c r="A61" s="23">
        <v>1.6</v>
      </c>
      <c r="B61" s="24" t="s">
        <v>111</v>
      </c>
      <c r="C61" s="25"/>
      <c r="D61" s="25"/>
      <c r="E61" s="25"/>
      <c r="F61" s="25"/>
      <c r="G61" s="25"/>
      <c r="H61" s="25"/>
      <c r="I61" s="25">
        <f>SUM(I62:I63)</f>
        <v>0</v>
      </c>
      <c r="J61" s="25">
        <f t="shared" ref="J61" si="21">SUM(J62:J63)</f>
        <v>0</v>
      </c>
      <c r="K61" s="25">
        <f>SUM(I61:J61)</f>
        <v>0</v>
      </c>
      <c r="L61" s="11"/>
      <c r="M61" s="25">
        <f>M62</f>
        <v>111000</v>
      </c>
      <c r="N61" s="25">
        <f>N62</f>
        <v>0</v>
      </c>
      <c r="O61" s="25"/>
    </row>
    <row r="62" spans="1:15" s="8" customFormat="1" ht="17.25" customHeight="1">
      <c r="A62" s="29" t="s">
        <v>101</v>
      </c>
      <c r="B62" s="3" t="s">
        <v>112</v>
      </c>
      <c r="C62" s="11"/>
      <c r="D62" s="11"/>
      <c r="E62" s="11"/>
      <c r="F62" s="11"/>
      <c r="G62" s="11"/>
      <c r="H62" s="11"/>
      <c r="I62" s="11">
        <f>I109</f>
        <v>0</v>
      </c>
      <c r="J62" s="11"/>
      <c r="K62" s="11">
        <f>J62</f>
        <v>0</v>
      </c>
      <c r="L62" s="11"/>
      <c r="M62" s="11">
        <f>K109</f>
        <v>111000</v>
      </c>
      <c r="N62" s="11"/>
      <c r="O62" s="11"/>
    </row>
    <row r="63" spans="1:15" s="8" customFormat="1" ht="11.25" customHeight="1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8" customFormat="1" ht="17.25" customHeight="1">
      <c r="A64" s="23">
        <v>1.7</v>
      </c>
      <c r="B64" s="24" t="s">
        <v>71</v>
      </c>
      <c r="C64" s="25"/>
      <c r="D64" s="25"/>
      <c r="E64" s="25"/>
      <c r="F64" s="30">
        <v>7.0000000000000007E-2</v>
      </c>
      <c r="G64" s="25"/>
      <c r="H64" s="25"/>
      <c r="I64" s="25">
        <f>(I14+I20+I34+I50+I57)*F64</f>
        <v>17661.168000000001</v>
      </c>
      <c r="J64" s="25">
        <f>(J14+J20+J34+J50+J57)*F64</f>
        <v>4554.863698000001</v>
      </c>
      <c r="K64" s="25">
        <f>SUM(I64:J64)</f>
        <v>22216.031698000003</v>
      </c>
      <c r="L64" s="11"/>
      <c r="M64" s="25">
        <f>K64-N64</f>
        <v>0</v>
      </c>
      <c r="N64" s="25">
        <f>SUM(I64:J64)</f>
        <v>22216.031698000003</v>
      </c>
      <c r="O64" s="25">
        <f>SUM(I64:J64)-M64-N64</f>
        <v>0</v>
      </c>
    </row>
    <row r="65" spans="1:15" s="8" customFormat="1" ht="17.25" customHeight="1">
      <c r="A65" s="31"/>
      <c r="B65" s="9"/>
      <c r="C65" s="15"/>
      <c r="D65" s="15"/>
      <c r="E65" s="15"/>
      <c r="F65" s="15"/>
      <c r="G65" s="15"/>
      <c r="H65" s="15"/>
      <c r="I65" s="15"/>
      <c r="J65" s="15"/>
      <c r="K65" s="15"/>
      <c r="L65" s="11"/>
      <c r="M65" s="15"/>
      <c r="N65" s="15"/>
      <c r="O65" s="15"/>
    </row>
    <row r="66" spans="1:15" s="8" customFormat="1" ht="17.25" customHeight="1">
      <c r="A66" s="4" t="s">
        <v>72</v>
      </c>
      <c r="B66" s="5"/>
      <c r="C66" s="12"/>
      <c r="D66" s="12"/>
      <c r="E66" s="12"/>
      <c r="F66" s="12"/>
      <c r="G66" s="12"/>
      <c r="H66" s="12"/>
      <c r="I66" s="13">
        <f>I14+I20+I34+I50+I57+I61+I64</f>
        <v>269963.56799999997</v>
      </c>
      <c r="J66" s="13">
        <f>J14+J20+J34+J50+J57+J61+J64</f>
        <v>69624.345098000005</v>
      </c>
      <c r="K66" s="13">
        <f>K14+K20+K34+K50+K57+K61+K64</f>
        <v>339587.91309799999</v>
      </c>
      <c r="L66" s="11"/>
      <c r="M66" s="13">
        <f>M14+M20+M34+M50+M57+M61+M64</f>
        <v>219639.37340000001</v>
      </c>
      <c r="N66" s="13">
        <f>N14+N20+N34+N50+N57+N61+N64</f>
        <v>230948.53969800001</v>
      </c>
      <c r="O66" s="13">
        <f>O14+O20+O34+O50+O57+O61+O64</f>
        <v>0</v>
      </c>
    </row>
    <row r="67" spans="1:15" s="8" customFormat="1" ht="9" customHeight="1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s="8" customFormat="1" ht="17.25" hidden="1" customHeight="1">
      <c r="A68" s="32" t="s">
        <v>73</v>
      </c>
      <c r="B68" s="32"/>
      <c r="C68" s="33"/>
      <c r="D68" s="33"/>
      <c r="E68" s="33"/>
      <c r="F68" s="33"/>
      <c r="G68" s="33"/>
      <c r="H68" s="33"/>
      <c r="I68" s="33"/>
      <c r="J68" s="34">
        <v>1.1000000000000001</v>
      </c>
      <c r="K68" s="33"/>
      <c r="L68" s="11"/>
      <c r="M68" s="11"/>
      <c r="N68" s="11"/>
      <c r="O68" s="11"/>
    </row>
    <row r="69" spans="1:15" s="8" customFormat="1" ht="17.25" customHeigh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s="8" customFormat="1" ht="17.25" customHeight="1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s="9" customFormat="1" ht="17.25" customHeight="1">
      <c r="A71" s="45" t="s">
        <v>102</v>
      </c>
      <c r="B71" s="46"/>
      <c r="C71" s="73" t="s">
        <v>3</v>
      </c>
      <c r="D71" s="73" t="s">
        <v>4</v>
      </c>
      <c r="E71" s="73" t="s">
        <v>5</v>
      </c>
      <c r="F71" s="73" t="s">
        <v>6</v>
      </c>
      <c r="G71" s="71" t="s">
        <v>3</v>
      </c>
      <c r="H71" s="71"/>
      <c r="I71" s="71" t="s">
        <v>92</v>
      </c>
      <c r="J71" s="71"/>
      <c r="K71" s="16"/>
      <c r="L71" s="15"/>
      <c r="M71" s="71" t="s">
        <v>89</v>
      </c>
      <c r="N71" s="71" t="s">
        <v>90</v>
      </c>
      <c r="O71" s="71" t="s">
        <v>91</v>
      </c>
    </row>
    <row r="72" spans="1:15" s="9" customFormat="1" ht="17.25" customHeight="1">
      <c r="A72" s="72" t="s">
        <v>2</v>
      </c>
      <c r="B72" s="72"/>
      <c r="C72" s="73"/>
      <c r="D72" s="73"/>
      <c r="E72" s="73"/>
      <c r="F72" s="73"/>
      <c r="G72" s="62" t="s">
        <v>7</v>
      </c>
      <c r="H72" s="62" t="s">
        <v>8</v>
      </c>
      <c r="I72" s="62" t="s">
        <v>7</v>
      </c>
      <c r="J72" s="62" t="s">
        <v>8</v>
      </c>
      <c r="K72" s="62" t="s">
        <v>9</v>
      </c>
      <c r="L72" s="15"/>
      <c r="M72" s="71"/>
      <c r="N72" s="71"/>
      <c r="O72" s="71"/>
    </row>
    <row r="73" spans="1:15" s="8" customFormat="1" ht="17.25" customHeight="1">
      <c r="A73" s="23">
        <v>1.1000000000000001</v>
      </c>
      <c r="B73" s="24" t="s">
        <v>10</v>
      </c>
      <c r="C73" s="25"/>
      <c r="D73" s="25"/>
      <c r="E73" s="25"/>
      <c r="F73" s="25"/>
      <c r="G73" s="25"/>
      <c r="H73" s="25"/>
      <c r="I73" s="25">
        <f>SUM(I74:I75)</f>
        <v>225</v>
      </c>
      <c r="J73" s="25">
        <f t="shared" ref="J73" si="22">SUM(J74:J75)</f>
        <v>0</v>
      </c>
      <c r="K73" s="25">
        <f>SUM(I73:J73)</f>
        <v>225</v>
      </c>
      <c r="L73" s="11"/>
      <c r="M73" s="25">
        <f>SUM(M74:M75)</f>
        <v>225</v>
      </c>
      <c r="N73" s="25">
        <f>SUM(N74:N75)</f>
        <v>0</v>
      </c>
      <c r="O73" s="25">
        <f>SUM(I73:J73)-M73-N73</f>
        <v>0</v>
      </c>
    </row>
    <row r="74" spans="1:15" s="8" customFormat="1" ht="17.25" customHeight="1">
      <c r="A74" s="29" t="s">
        <v>11</v>
      </c>
      <c r="B74" s="8" t="s">
        <v>74</v>
      </c>
      <c r="C74" s="11">
        <v>1</v>
      </c>
      <c r="D74" s="11">
        <v>3</v>
      </c>
      <c r="E74" s="11">
        <v>1</v>
      </c>
      <c r="F74" s="11">
        <v>25</v>
      </c>
      <c r="G74" s="11">
        <v>1</v>
      </c>
      <c r="H74" s="11">
        <v>0</v>
      </c>
      <c r="I74" s="11">
        <f>C74*D74*E74*F74*G74</f>
        <v>75</v>
      </c>
      <c r="J74" s="11">
        <f>C74*D74*E74*F74*H74*J104</f>
        <v>0</v>
      </c>
      <c r="K74" s="11">
        <f>SUM(I74:J74)</f>
        <v>75</v>
      </c>
      <c r="L74" s="11"/>
      <c r="M74" s="11">
        <f>SUM(I74:J74)</f>
        <v>75</v>
      </c>
      <c r="N74" s="11">
        <v>0</v>
      </c>
      <c r="O74" s="11"/>
    </row>
    <row r="75" spans="1:15" s="8" customFormat="1" ht="17.25" customHeight="1">
      <c r="A75" s="29" t="s">
        <v>13</v>
      </c>
      <c r="B75" s="8" t="s">
        <v>16</v>
      </c>
      <c r="C75" s="11">
        <v>2</v>
      </c>
      <c r="D75" s="11">
        <v>3</v>
      </c>
      <c r="E75" s="11">
        <v>1</v>
      </c>
      <c r="F75" s="11">
        <v>25</v>
      </c>
      <c r="G75" s="11">
        <v>1</v>
      </c>
      <c r="H75" s="11">
        <v>0</v>
      </c>
      <c r="I75" s="11">
        <f>C75*D75*E75*F75*G75</f>
        <v>150</v>
      </c>
      <c r="J75" s="11">
        <f>C75*D75*E75*F75*H75*J105</f>
        <v>0</v>
      </c>
      <c r="K75" s="11">
        <f>SUM(I75:J75)</f>
        <v>150</v>
      </c>
      <c r="L75" s="11"/>
      <c r="M75" s="11">
        <f>SUM(I75:J75)</f>
        <v>150</v>
      </c>
      <c r="N75" s="11">
        <v>0</v>
      </c>
      <c r="O75" s="11"/>
    </row>
    <row r="76" spans="1:15" s="8" customFormat="1" ht="9.75" customHeight="1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s="8" customFormat="1" ht="17.25" customHeight="1">
      <c r="A77" s="23">
        <v>1.2</v>
      </c>
      <c r="B77" s="24" t="s">
        <v>19</v>
      </c>
      <c r="C77" s="25"/>
      <c r="D77" s="25"/>
      <c r="E77" s="25"/>
      <c r="F77" s="25"/>
      <c r="G77" s="25"/>
      <c r="H77" s="25"/>
      <c r="I77" s="25">
        <f t="shared" ref="I77:K77" si="23">SUM(I78:I86)</f>
        <v>16592.400000000001</v>
      </c>
      <c r="J77" s="25">
        <f t="shared" si="23"/>
        <v>18724.523400000002</v>
      </c>
      <c r="K77" s="25">
        <f t="shared" si="23"/>
        <v>35316.9234</v>
      </c>
      <c r="L77" s="11"/>
      <c r="M77" s="25">
        <f>SUM(M78:M86)</f>
        <v>20126.315399999999</v>
      </c>
      <c r="N77" s="25">
        <f>SUM(N78:N86)</f>
        <v>15190.608</v>
      </c>
      <c r="O77" s="25">
        <f>SUM(I77:J77)-M77-N77</f>
        <v>0</v>
      </c>
    </row>
    <row r="78" spans="1:15" s="8" customFormat="1" ht="17.25" customHeight="1">
      <c r="A78" s="29" t="s">
        <v>20</v>
      </c>
      <c r="B78" s="3" t="s">
        <v>128</v>
      </c>
      <c r="C78" s="11">
        <v>1</v>
      </c>
      <c r="D78" s="11">
        <v>12</v>
      </c>
      <c r="E78" s="11">
        <v>1</v>
      </c>
      <c r="F78" s="11">
        <v>1800</v>
      </c>
      <c r="G78" s="11">
        <v>1</v>
      </c>
      <c r="H78" s="11">
        <v>1</v>
      </c>
      <c r="I78" s="11">
        <f>($C78*$D78*$E78*$F78*G78)*12.5%</f>
        <v>2700</v>
      </c>
      <c r="J78" s="11">
        <f>($C78*$D78*$E78*$F78*H78*J104)*12.5%</f>
        <v>2970.0000000000005</v>
      </c>
      <c r="K78" s="11">
        <f t="shared" ref="K78:K86" si="24">SUM(I78:J78)</f>
        <v>5670</v>
      </c>
      <c r="L78" s="11"/>
      <c r="M78" s="11">
        <f>K78*63.86%</f>
        <v>3620.8619999999996</v>
      </c>
      <c r="N78" s="11">
        <f>K78-M78</f>
        <v>2049.1380000000004</v>
      </c>
      <c r="O78" s="11"/>
    </row>
    <row r="79" spans="1:15" s="8" customFormat="1" ht="17.25" customHeight="1">
      <c r="A79" s="59" t="s">
        <v>21</v>
      </c>
      <c r="B79" s="3" t="s">
        <v>127</v>
      </c>
      <c r="C79" s="11">
        <v>1</v>
      </c>
      <c r="D79" s="11">
        <v>12</v>
      </c>
      <c r="E79" s="11">
        <v>1</v>
      </c>
      <c r="F79" s="11">
        <v>1200</v>
      </c>
      <c r="G79" s="11">
        <v>1</v>
      </c>
      <c r="H79" s="11">
        <v>1</v>
      </c>
      <c r="I79" s="11">
        <f>(C79*D79*E79*F79*G79)*25%</f>
        <v>3600</v>
      </c>
      <c r="J79" s="11">
        <f>(C79*D79*E79*F79*H79*J104)*25%</f>
        <v>3960.0000000000005</v>
      </c>
      <c r="K79" s="11">
        <f t="shared" ref="K79" si="25">SUM(I79:J79)</f>
        <v>7560</v>
      </c>
      <c r="L79" s="11"/>
      <c r="M79" s="11">
        <f>K79*50%</f>
        <v>3780</v>
      </c>
      <c r="N79" s="11">
        <f>K79-M79</f>
        <v>3780</v>
      </c>
      <c r="O79" s="11"/>
    </row>
    <row r="80" spans="1:15" s="8" customFormat="1" ht="17.25" customHeight="1">
      <c r="A80" s="29" t="s">
        <v>23</v>
      </c>
      <c r="B80" s="3" t="s">
        <v>75</v>
      </c>
      <c r="C80" s="11">
        <v>1</v>
      </c>
      <c r="D80" s="11">
        <v>12</v>
      </c>
      <c r="E80" s="11">
        <v>1</v>
      </c>
      <c r="F80" s="11">
        <v>160</v>
      </c>
      <c r="G80" s="11">
        <v>1</v>
      </c>
      <c r="H80" s="11">
        <v>1</v>
      </c>
      <c r="I80" s="11">
        <f>C80*D80*E80*F80*G80</f>
        <v>1920</v>
      </c>
      <c r="J80" s="11">
        <f>C80*D80*E80*F80*H80*J104</f>
        <v>2112</v>
      </c>
      <c r="K80" s="11">
        <f t="shared" si="24"/>
        <v>4032</v>
      </c>
      <c r="L80" s="11"/>
      <c r="M80" s="11">
        <f t="shared" ref="M80:M85" si="26">K80*50%</f>
        <v>2016</v>
      </c>
      <c r="N80" s="11">
        <f t="shared" ref="N80:N85" si="27">K80-M80</f>
        <v>2016</v>
      </c>
      <c r="O80" s="11"/>
    </row>
    <row r="81" spans="1:20" s="8" customFormat="1" ht="17.25" customHeight="1">
      <c r="A81" s="59" t="s">
        <v>25</v>
      </c>
      <c r="B81" s="3" t="s">
        <v>122</v>
      </c>
      <c r="C81" s="11">
        <v>1</v>
      </c>
      <c r="D81" s="11">
        <v>12</v>
      </c>
      <c r="E81" s="11">
        <v>1</v>
      </c>
      <c r="F81" s="11">
        <v>150</v>
      </c>
      <c r="G81" s="11">
        <v>1</v>
      </c>
      <c r="H81" s="11">
        <v>1</v>
      </c>
      <c r="I81" s="11">
        <f>(C81*D81*E81*F81*G81)*25%</f>
        <v>450</v>
      </c>
      <c r="J81" s="11">
        <f>(C81*D81*E81*F81*H81*J104)*25%</f>
        <v>495.00000000000006</v>
      </c>
      <c r="K81" s="11">
        <f t="shared" ref="K81:K82" si="28">SUM(I81:J81)</f>
        <v>945</v>
      </c>
      <c r="L81" s="11"/>
      <c r="M81" s="11">
        <f t="shared" si="26"/>
        <v>472.5</v>
      </c>
      <c r="N81" s="11">
        <f t="shared" si="27"/>
        <v>472.5</v>
      </c>
      <c r="O81" s="11"/>
      <c r="T81" s="21"/>
    </row>
    <row r="82" spans="1:20" s="8" customFormat="1" ht="17.25" customHeight="1">
      <c r="A82" s="29" t="s">
        <v>26</v>
      </c>
      <c r="B82" s="3" t="s">
        <v>123</v>
      </c>
      <c r="C82" s="11">
        <v>1</v>
      </c>
      <c r="D82" s="11">
        <v>12</v>
      </c>
      <c r="E82" s="11">
        <v>1</v>
      </c>
      <c r="F82" s="11">
        <v>100</v>
      </c>
      <c r="G82" s="11">
        <v>1</v>
      </c>
      <c r="H82" s="11">
        <v>1</v>
      </c>
      <c r="I82" s="11">
        <f>(C82*D82*E82*F82*G82)*25%</f>
        <v>300</v>
      </c>
      <c r="J82" s="11">
        <f>(C82*D82*E82*F82*H82*J104)*25%</f>
        <v>330</v>
      </c>
      <c r="K82" s="11">
        <f t="shared" si="28"/>
        <v>630</v>
      </c>
      <c r="L82" s="11"/>
      <c r="M82" s="11">
        <f t="shared" si="26"/>
        <v>315</v>
      </c>
      <c r="N82" s="11">
        <f t="shared" si="27"/>
        <v>315</v>
      </c>
      <c r="O82" s="11"/>
    </row>
    <row r="83" spans="1:20" s="8" customFormat="1" ht="17.25" customHeight="1">
      <c r="A83" s="59" t="s">
        <v>27</v>
      </c>
      <c r="B83" s="8" t="s">
        <v>76</v>
      </c>
      <c r="C83" s="11">
        <v>2</v>
      </c>
      <c r="D83" s="11">
        <v>12</v>
      </c>
      <c r="E83" s="11">
        <v>1</v>
      </c>
      <c r="F83" s="11">
        <v>100</v>
      </c>
      <c r="G83" s="11">
        <v>1</v>
      </c>
      <c r="H83" s="11">
        <v>1</v>
      </c>
      <c r="I83" s="11">
        <f t="shared" ref="I83:I84" si="29">C83*D83*E83*F83*G83</f>
        <v>2400</v>
      </c>
      <c r="J83" s="11">
        <f>C83*D83*E83*F83*H83*J104</f>
        <v>2640</v>
      </c>
      <c r="K83" s="11">
        <f t="shared" si="24"/>
        <v>5040</v>
      </c>
      <c r="L83" s="11"/>
      <c r="M83" s="11">
        <f t="shared" si="26"/>
        <v>2520</v>
      </c>
      <c r="N83" s="11">
        <f t="shared" si="27"/>
        <v>2520</v>
      </c>
      <c r="O83" s="11"/>
    </row>
    <row r="84" spans="1:20" s="8" customFormat="1" ht="17.25" customHeight="1">
      <c r="A84" s="29" t="s">
        <v>29</v>
      </c>
      <c r="B84" s="8" t="s">
        <v>77</v>
      </c>
      <c r="C84" s="11">
        <v>1</v>
      </c>
      <c r="D84" s="11">
        <v>12</v>
      </c>
      <c r="E84" s="11">
        <v>1</v>
      </c>
      <c r="F84" s="11">
        <v>100</v>
      </c>
      <c r="G84" s="11">
        <v>1</v>
      </c>
      <c r="H84" s="11">
        <v>1</v>
      </c>
      <c r="I84" s="11">
        <f t="shared" si="29"/>
        <v>1200</v>
      </c>
      <c r="J84" s="11">
        <f>C84*D84*E84*F84*H84*J104</f>
        <v>1320</v>
      </c>
      <c r="K84" s="11">
        <f t="shared" si="24"/>
        <v>2520</v>
      </c>
      <c r="L84" s="11"/>
      <c r="M84" s="11">
        <f t="shared" si="26"/>
        <v>1260</v>
      </c>
      <c r="N84" s="11">
        <f t="shared" si="27"/>
        <v>1260</v>
      </c>
      <c r="O84" s="11"/>
    </row>
    <row r="85" spans="1:20" s="8" customFormat="1" ht="17.25" customHeight="1">
      <c r="A85" s="59" t="s">
        <v>31</v>
      </c>
      <c r="B85" s="8" t="s">
        <v>98</v>
      </c>
      <c r="C85" s="11">
        <v>1</v>
      </c>
      <c r="D85" s="11">
        <v>0</v>
      </c>
      <c r="E85" s="11">
        <v>0</v>
      </c>
      <c r="F85" s="21">
        <v>0.2</v>
      </c>
      <c r="G85" s="11">
        <v>0</v>
      </c>
      <c r="H85" s="11">
        <v>0</v>
      </c>
      <c r="I85" s="11">
        <f>SUM(I78:I84)*F85</f>
        <v>2514</v>
      </c>
      <c r="J85" s="11">
        <f>SUM(J78:J84)*F85*J104</f>
        <v>3041.9400000000005</v>
      </c>
      <c r="K85" s="11">
        <f t="shared" si="24"/>
        <v>5555.9400000000005</v>
      </c>
      <c r="L85" s="11"/>
      <c r="M85" s="11">
        <f t="shared" si="26"/>
        <v>2777.9700000000003</v>
      </c>
      <c r="N85" s="11">
        <f t="shared" si="27"/>
        <v>2777.9700000000003</v>
      </c>
      <c r="O85" s="11"/>
    </row>
    <row r="86" spans="1:20" s="8" customFormat="1" ht="17.25" customHeight="1">
      <c r="A86" s="29" t="s">
        <v>33</v>
      </c>
      <c r="B86" s="8" t="s">
        <v>36</v>
      </c>
      <c r="C86" s="11">
        <v>1</v>
      </c>
      <c r="D86" s="11">
        <v>0</v>
      </c>
      <c r="E86" s="11">
        <v>0</v>
      </c>
      <c r="F86" s="21">
        <v>0.1</v>
      </c>
      <c r="G86" s="11">
        <v>0</v>
      </c>
      <c r="H86" s="11">
        <v>0</v>
      </c>
      <c r="I86" s="11">
        <f>SUM(I78:I85)*$F86</f>
        <v>1508.4</v>
      </c>
      <c r="J86" s="11">
        <f>SUM(J78:J85)*F86*J104</f>
        <v>1855.5834000000004</v>
      </c>
      <c r="K86" s="11">
        <f t="shared" si="24"/>
        <v>3363.9834000000005</v>
      </c>
      <c r="L86" s="11"/>
      <c r="M86" s="11">
        <f>K86</f>
        <v>3363.9834000000005</v>
      </c>
      <c r="N86" s="11">
        <v>0</v>
      </c>
      <c r="O86" s="11"/>
    </row>
    <row r="87" spans="1:20" s="8" customFormat="1" ht="12" customHeight="1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20" s="8" customFormat="1" ht="17.25" customHeight="1">
      <c r="A88" s="23">
        <v>1.3</v>
      </c>
      <c r="B88" s="24" t="s">
        <v>37</v>
      </c>
      <c r="C88" s="25"/>
      <c r="D88" s="25"/>
      <c r="E88" s="25"/>
      <c r="F88" s="25"/>
      <c r="G88" s="25"/>
      <c r="H88" s="25"/>
      <c r="I88" s="25">
        <f>SUM(I89:I94)</f>
        <v>91300</v>
      </c>
      <c r="J88" s="25">
        <f t="shared" ref="J88:K88" si="30">SUM(J89:J94)</f>
        <v>0</v>
      </c>
      <c r="K88" s="25">
        <f t="shared" si="30"/>
        <v>91300</v>
      </c>
      <c r="L88" s="11"/>
      <c r="M88" s="25">
        <f>SUM(M89:M94)</f>
        <v>0</v>
      </c>
      <c r="N88" s="25">
        <f>SUM(N89:N94)</f>
        <v>91300</v>
      </c>
      <c r="O88" s="25">
        <f>SUM(I88:J88)-M88-N88</f>
        <v>0</v>
      </c>
    </row>
    <row r="89" spans="1:20" s="8" customFormat="1" ht="17.25" customHeight="1">
      <c r="A89" s="29" t="s">
        <v>38</v>
      </c>
      <c r="B89" s="3" t="s">
        <v>78</v>
      </c>
      <c r="C89" s="11">
        <v>1</v>
      </c>
      <c r="D89" s="11">
        <v>1</v>
      </c>
      <c r="E89" s="11">
        <v>1</v>
      </c>
      <c r="F89" s="11">
        <v>20000</v>
      </c>
      <c r="G89" s="11">
        <v>1</v>
      </c>
      <c r="H89" s="11">
        <v>0</v>
      </c>
      <c r="I89" s="11">
        <f>C89*D89*E89*F89*G89</f>
        <v>20000</v>
      </c>
      <c r="J89" s="11">
        <f>C89*D89*E89*F89*H89*J104</f>
        <v>0</v>
      </c>
      <c r="K89" s="11">
        <f t="shared" ref="K89:K94" si="31">SUM(I89:J89)</f>
        <v>20000</v>
      </c>
      <c r="L89" s="11"/>
      <c r="M89" s="11">
        <v>0</v>
      </c>
      <c r="N89" s="11">
        <f>K89-M89</f>
        <v>20000</v>
      </c>
      <c r="O89" s="11"/>
    </row>
    <row r="90" spans="1:20" s="8" customFormat="1" ht="17.25" customHeight="1">
      <c r="A90" s="29" t="s">
        <v>39</v>
      </c>
      <c r="B90" s="3" t="s">
        <v>120</v>
      </c>
      <c r="C90" s="11">
        <v>1</v>
      </c>
      <c r="D90" s="11">
        <v>1</v>
      </c>
      <c r="E90" s="11">
        <v>1</v>
      </c>
      <c r="F90" s="11">
        <v>20000</v>
      </c>
      <c r="G90" s="11">
        <v>1</v>
      </c>
      <c r="H90" s="11">
        <v>0</v>
      </c>
      <c r="I90" s="11">
        <f>C90*D90*E90*F90*G90</f>
        <v>20000</v>
      </c>
      <c r="J90" s="11">
        <f>C90*D90*E90*F90*H90*J105</f>
        <v>0</v>
      </c>
      <c r="K90" s="11">
        <f t="shared" si="31"/>
        <v>20000</v>
      </c>
      <c r="L90" s="11"/>
      <c r="M90" s="11">
        <v>0</v>
      </c>
      <c r="N90" s="11">
        <f t="shared" ref="N90:N94" si="32">K90-M90</f>
        <v>20000</v>
      </c>
      <c r="O90" s="11"/>
    </row>
    <row r="91" spans="1:20" s="8" customFormat="1" ht="17.25" customHeight="1">
      <c r="A91" s="29" t="s">
        <v>40</v>
      </c>
      <c r="B91" s="8" t="s">
        <v>97</v>
      </c>
      <c r="C91" s="11">
        <v>1</v>
      </c>
      <c r="D91" s="11">
        <v>1</v>
      </c>
      <c r="E91" s="11">
        <v>1</v>
      </c>
      <c r="F91" s="11">
        <v>15000</v>
      </c>
      <c r="G91" s="11">
        <v>1</v>
      </c>
      <c r="H91" s="11">
        <v>0</v>
      </c>
      <c r="I91" s="11">
        <f t="shared" ref="I91:I94" si="33">C91*D91*E91*F91*G91</f>
        <v>15000</v>
      </c>
      <c r="J91" s="11">
        <f>C91*D91*E91*F91*H91*J104</f>
        <v>0</v>
      </c>
      <c r="K91" s="11">
        <f t="shared" si="31"/>
        <v>15000</v>
      </c>
      <c r="L91" s="11"/>
      <c r="M91" s="11">
        <v>0</v>
      </c>
      <c r="N91" s="11">
        <f t="shared" si="32"/>
        <v>15000</v>
      </c>
      <c r="O91" s="11"/>
    </row>
    <row r="92" spans="1:20" s="8" customFormat="1" ht="17.25" customHeight="1">
      <c r="A92" s="29" t="s">
        <v>41</v>
      </c>
      <c r="B92" s="3" t="s">
        <v>53</v>
      </c>
      <c r="C92" s="11">
        <v>1</v>
      </c>
      <c r="D92" s="11">
        <v>1</v>
      </c>
      <c r="E92" s="11">
        <v>1</v>
      </c>
      <c r="F92" s="11">
        <v>20000</v>
      </c>
      <c r="G92" s="11">
        <v>1</v>
      </c>
      <c r="H92" s="11">
        <v>0</v>
      </c>
      <c r="I92" s="11">
        <f t="shared" si="33"/>
        <v>20000</v>
      </c>
      <c r="J92" s="11">
        <f>C92*D92*E92*F92*H92*J105</f>
        <v>0</v>
      </c>
      <c r="K92" s="11">
        <f t="shared" si="31"/>
        <v>20000</v>
      </c>
      <c r="L92" s="11"/>
      <c r="M92" s="11">
        <v>0</v>
      </c>
      <c r="N92" s="11">
        <f t="shared" si="32"/>
        <v>20000</v>
      </c>
      <c r="O92" s="11"/>
    </row>
    <row r="93" spans="1:20" s="8" customFormat="1" ht="17.25" customHeight="1">
      <c r="A93" s="29" t="s">
        <v>42</v>
      </c>
      <c r="B93" s="3" t="s">
        <v>124</v>
      </c>
      <c r="C93" s="11">
        <v>1</v>
      </c>
      <c r="D93" s="11">
        <v>1</v>
      </c>
      <c r="E93" s="11">
        <v>1</v>
      </c>
      <c r="F93" s="11">
        <v>15000</v>
      </c>
      <c r="G93" s="11">
        <v>1</v>
      </c>
      <c r="H93" s="11">
        <v>0</v>
      </c>
      <c r="I93" s="11">
        <f t="shared" si="33"/>
        <v>15000</v>
      </c>
      <c r="J93" s="11">
        <f>C93*D93*E93*F93*H93*J104</f>
        <v>0</v>
      </c>
      <c r="K93" s="11">
        <f t="shared" si="31"/>
        <v>15000</v>
      </c>
      <c r="L93" s="11"/>
      <c r="M93" s="11">
        <f>0</f>
        <v>0</v>
      </c>
      <c r="N93" s="11">
        <f t="shared" si="32"/>
        <v>15000</v>
      </c>
      <c r="O93" s="11"/>
    </row>
    <row r="94" spans="1:20" s="8" customFormat="1" ht="17.25" customHeight="1">
      <c r="A94" s="29" t="s">
        <v>43</v>
      </c>
      <c r="B94" s="8" t="s">
        <v>99</v>
      </c>
      <c r="C94" s="11">
        <v>1</v>
      </c>
      <c r="D94" s="11">
        <v>1</v>
      </c>
      <c r="E94" s="11">
        <v>1</v>
      </c>
      <c r="F94" s="11">
        <v>1300</v>
      </c>
      <c r="G94" s="11">
        <v>1</v>
      </c>
      <c r="H94" s="11">
        <v>0</v>
      </c>
      <c r="I94" s="11">
        <f t="shared" si="33"/>
        <v>1300</v>
      </c>
      <c r="J94" s="11">
        <f>C94*D94*E94*F94*H94*J105</f>
        <v>0</v>
      </c>
      <c r="K94" s="11">
        <f t="shared" si="31"/>
        <v>1300</v>
      </c>
      <c r="L94" s="11"/>
      <c r="M94" s="11">
        <v>0</v>
      </c>
      <c r="N94" s="11">
        <f t="shared" si="32"/>
        <v>1300</v>
      </c>
      <c r="O94" s="11"/>
    </row>
    <row r="95" spans="1:20" s="8" customFormat="1" ht="9" customHeight="1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20" s="8" customFormat="1" ht="17.25" customHeight="1">
      <c r="A96" s="23">
        <v>1.4</v>
      </c>
      <c r="B96" s="24" t="s">
        <v>58</v>
      </c>
      <c r="C96" s="25"/>
      <c r="D96" s="25"/>
      <c r="E96" s="25"/>
      <c r="F96" s="25"/>
      <c r="G96" s="25"/>
      <c r="H96" s="25"/>
      <c r="I96" s="25">
        <f>SUM(I97:I98)</f>
        <v>38140</v>
      </c>
      <c r="J96" s="25">
        <f t="shared" ref="J96" si="34">SUM(J97:J98)</f>
        <v>14454</v>
      </c>
      <c r="K96" s="25">
        <f>SUM(K97:K98)</f>
        <v>52594</v>
      </c>
      <c r="L96" s="11"/>
      <c r="M96" s="25">
        <f>SUM(M97:M98)</f>
        <v>27594</v>
      </c>
      <c r="N96" s="25">
        <f>SUM(N97:N98)</f>
        <v>25000</v>
      </c>
      <c r="O96" s="25">
        <f>SUM(I96:J96)-M96-N96</f>
        <v>0</v>
      </c>
    </row>
    <row r="97" spans="1:15" s="8" customFormat="1" ht="17.25" customHeight="1">
      <c r="A97" s="29" t="s">
        <v>59</v>
      </c>
      <c r="B97" s="8" t="s">
        <v>79</v>
      </c>
      <c r="C97" s="11">
        <v>1</v>
      </c>
      <c r="D97" s="11">
        <v>1</v>
      </c>
      <c r="E97" s="11">
        <v>1</v>
      </c>
      <c r="F97" s="11">
        <v>1</v>
      </c>
      <c r="G97" s="11">
        <v>0</v>
      </c>
      <c r="H97" s="11">
        <v>0</v>
      </c>
      <c r="I97" s="11">
        <v>25000</v>
      </c>
      <c r="J97" s="11">
        <v>0</v>
      </c>
      <c r="K97" s="11">
        <f>SUM(I97:J97)</f>
        <v>25000</v>
      </c>
      <c r="L97" s="11"/>
      <c r="M97" s="11">
        <v>0</v>
      </c>
      <c r="N97" s="11">
        <f>K97-M97</f>
        <v>25000</v>
      </c>
      <c r="O97" s="11"/>
    </row>
    <row r="98" spans="1:15" s="8" customFormat="1" ht="17.25" customHeight="1">
      <c r="A98" s="59" t="s">
        <v>61</v>
      </c>
      <c r="B98" s="3" t="s">
        <v>125</v>
      </c>
      <c r="C98" s="10">
        <f>0.6*12</f>
        <v>7.1999999999999993</v>
      </c>
      <c r="D98" s="11">
        <v>365</v>
      </c>
      <c r="E98" s="11">
        <v>1</v>
      </c>
      <c r="F98" s="11">
        <v>5</v>
      </c>
      <c r="G98" s="11">
        <f>C98*D98*E98</f>
        <v>2627.9999999999995</v>
      </c>
      <c r="H98" s="11">
        <f>C98*D98*E98</f>
        <v>2627.9999999999995</v>
      </c>
      <c r="I98" s="11">
        <f>F98*G98</f>
        <v>13139.999999999998</v>
      </c>
      <c r="J98" s="11">
        <f>F98*H98*J104</f>
        <v>14454</v>
      </c>
      <c r="K98" s="11">
        <f t="shared" ref="K98" si="35">SUM(I98:J98)</f>
        <v>27594</v>
      </c>
      <c r="L98" s="11"/>
      <c r="M98" s="11">
        <f>K98</f>
        <v>27594</v>
      </c>
      <c r="N98" s="11">
        <f>K98-M98</f>
        <v>0</v>
      </c>
      <c r="O98" s="11"/>
    </row>
    <row r="99" spans="1:15" s="8" customFormat="1" ht="12.75" customHeight="1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s="8" customFormat="1" ht="17.25" customHeight="1">
      <c r="A100" s="23">
        <v>1.5</v>
      </c>
      <c r="B100" s="24" t="s">
        <v>71</v>
      </c>
      <c r="C100" s="25"/>
      <c r="D100" s="25"/>
      <c r="E100" s="25"/>
      <c r="F100" s="30">
        <v>7.0000000000000007E-2</v>
      </c>
      <c r="G100" s="25"/>
      <c r="H100" s="25"/>
      <c r="I100" s="25">
        <f>(I73+I77+I88+I96)*F100</f>
        <v>10238.018</v>
      </c>
      <c r="J100" s="25">
        <f>(J73+J77+J88+J96)*F100</f>
        <v>2322.4966380000005</v>
      </c>
      <c r="K100" s="25">
        <f>SUM(I100:J100)</f>
        <v>12560.514638000001</v>
      </c>
      <c r="L100" s="11"/>
      <c r="M100" s="25"/>
      <c r="N100" s="25">
        <f>SUM(I100:J100)</f>
        <v>12560.514638000001</v>
      </c>
      <c r="O100" s="25">
        <f>SUM(I100:J100)-M100-N100</f>
        <v>0</v>
      </c>
    </row>
    <row r="101" spans="1:15" s="8" customFormat="1" ht="9.75" customHeight="1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s="8" customFormat="1" ht="17.25" customHeight="1">
      <c r="A102" s="4" t="s">
        <v>114</v>
      </c>
      <c r="B102" s="5"/>
      <c r="C102" s="12"/>
      <c r="D102" s="12"/>
      <c r="E102" s="12"/>
      <c r="F102" s="12"/>
      <c r="G102" s="12"/>
      <c r="H102" s="12"/>
      <c r="I102" s="13">
        <f t="shared" ref="I102:K102" si="36">I73+I77+I88+I96+I100</f>
        <v>156495.41800000001</v>
      </c>
      <c r="J102" s="13">
        <f t="shared" si="36"/>
        <v>35501.020038000002</v>
      </c>
      <c r="K102" s="13">
        <f t="shared" si="36"/>
        <v>191996.43803799999</v>
      </c>
      <c r="L102" s="11"/>
      <c r="M102" s="13">
        <f t="shared" ref="M102:O102" si="37">M73+M77+M88+M96+M100</f>
        <v>47945.315399999999</v>
      </c>
      <c r="N102" s="13">
        <f t="shared" si="37"/>
        <v>144051.122638</v>
      </c>
      <c r="O102" s="13">
        <f t="shared" si="37"/>
        <v>0</v>
      </c>
    </row>
    <row r="103" spans="1:15" s="8" customFormat="1" ht="8.25" customHeight="1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s="8" customFormat="1" ht="17.25" hidden="1" customHeight="1">
      <c r="A104" s="32" t="s">
        <v>73</v>
      </c>
      <c r="B104" s="32"/>
      <c r="C104" s="33"/>
      <c r="D104" s="33"/>
      <c r="E104" s="33"/>
      <c r="F104" s="33"/>
      <c r="G104" s="33"/>
      <c r="H104" s="33"/>
      <c r="I104" s="33"/>
      <c r="J104" s="35">
        <v>1.1000000000000001</v>
      </c>
      <c r="K104" s="33"/>
      <c r="L104" s="11"/>
      <c r="M104" s="11"/>
      <c r="N104" s="11"/>
      <c r="O104" s="11"/>
    </row>
    <row r="105" spans="1:15" s="8" customFormat="1" ht="11.25" customHeight="1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s="8" customFormat="1" ht="17.25" customHeight="1">
      <c r="A106" s="6" t="s">
        <v>80</v>
      </c>
      <c r="B106" s="7"/>
      <c r="C106" s="36"/>
      <c r="D106" s="36"/>
      <c r="E106" s="36"/>
      <c r="F106" s="36"/>
      <c r="G106" s="36"/>
      <c r="H106" s="36"/>
      <c r="I106" s="14">
        <f t="shared" ref="I106:K106" si="38">I66+I102</f>
        <v>426458.98599999998</v>
      </c>
      <c r="J106" s="14">
        <f t="shared" si="38"/>
        <v>105125.36513600001</v>
      </c>
      <c r="K106" s="14">
        <f t="shared" si="38"/>
        <v>531584.35113600001</v>
      </c>
      <c r="L106" s="11"/>
      <c r="M106" s="14">
        <f>M66+M102</f>
        <v>267584.6888</v>
      </c>
      <c r="N106" s="14">
        <f>N66+N102</f>
        <v>374999.66233600001</v>
      </c>
      <c r="O106" s="14">
        <f>O66+O102</f>
        <v>0</v>
      </c>
    </row>
    <row r="107" spans="1:15" s="8" customFormat="1" ht="17.25" customHeight="1">
      <c r="A107" s="9"/>
      <c r="C107" s="11"/>
      <c r="D107" s="11"/>
      <c r="E107" s="11"/>
      <c r="F107" s="11"/>
      <c r="G107" s="11"/>
      <c r="H107" s="11"/>
      <c r="I107" s="11"/>
      <c r="J107" s="11"/>
      <c r="K107" s="37"/>
      <c r="L107" s="11"/>
      <c r="M107" s="11"/>
      <c r="N107" s="11"/>
      <c r="O107" s="11"/>
    </row>
    <row r="108" spans="1:15" s="8" customFormat="1" ht="17.25" customHeight="1">
      <c r="A108" s="9"/>
      <c r="C108" s="11"/>
      <c r="D108" s="11"/>
      <c r="E108" s="11"/>
      <c r="F108" s="11"/>
      <c r="G108" s="11"/>
      <c r="H108" s="11"/>
      <c r="I108" s="11"/>
      <c r="J108" s="11"/>
      <c r="K108" s="37"/>
      <c r="L108" s="11"/>
      <c r="M108" s="11"/>
      <c r="N108" s="11"/>
      <c r="O108" s="11"/>
    </row>
    <row r="109" spans="1:15" s="9" customFormat="1" ht="17.25" customHeight="1">
      <c r="A109" s="38" t="s">
        <v>81</v>
      </c>
      <c r="B109" s="38"/>
      <c r="C109" s="39"/>
      <c r="D109" s="39"/>
      <c r="E109" s="39"/>
      <c r="F109" s="39"/>
      <c r="G109" s="39"/>
      <c r="H109" s="39"/>
      <c r="I109" s="39">
        <f>SUM(I110:I112)</f>
        <v>0</v>
      </c>
      <c r="J109" s="39">
        <f t="shared" ref="J109:K109" si="39">SUM(J110:J112)</f>
        <v>111000</v>
      </c>
      <c r="K109" s="39">
        <f t="shared" si="39"/>
        <v>111000</v>
      </c>
      <c r="L109" s="15"/>
      <c r="M109" s="39"/>
      <c r="N109" s="39"/>
      <c r="O109" s="39"/>
    </row>
    <row r="110" spans="1:15" s="11" customFormat="1" ht="17.25" customHeight="1">
      <c r="A110" s="40" t="s">
        <v>82</v>
      </c>
      <c r="B110" s="41" t="s">
        <v>83</v>
      </c>
      <c r="C110" s="41"/>
      <c r="D110" s="41"/>
      <c r="E110" s="41"/>
      <c r="F110" s="41">
        <v>0.05</v>
      </c>
      <c r="G110" s="41">
        <v>0</v>
      </c>
      <c r="H110" s="41">
        <v>20000</v>
      </c>
      <c r="I110" s="41">
        <f>F110*G110</f>
        <v>0</v>
      </c>
      <c r="J110" s="41">
        <f>F110*H110</f>
        <v>1000</v>
      </c>
      <c r="K110" s="42">
        <f>SUM(I110:J110)</f>
        <v>1000</v>
      </c>
      <c r="M110" s="41"/>
      <c r="N110" s="41"/>
      <c r="O110" s="41"/>
    </row>
    <row r="111" spans="1:15" s="8" customFormat="1" ht="17.25" customHeight="1">
      <c r="A111" s="43" t="s">
        <v>84</v>
      </c>
      <c r="B111" s="44" t="s">
        <v>85</v>
      </c>
      <c r="C111" s="41"/>
      <c r="D111" s="41"/>
      <c r="E111" s="41"/>
      <c r="F111" s="41">
        <v>1</v>
      </c>
      <c r="G111" s="41">
        <v>0</v>
      </c>
      <c r="H111" s="41">
        <v>110000</v>
      </c>
      <c r="I111" s="41">
        <f>F111*G111</f>
        <v>0</v>
      </c>
      <c r="J111" s="41">
        <f>F111*H111</f>
        <v>110000</v>
      </c>
      <c r="K111" s="42">
        <f>SUM(I111:J111)</f>
        <v>110000</v>
      </c>
      <c r="L111" s="11"/>
      <c r="M111" s="41"/>
      <c r="N111" s="41"/>
      <c r="O111" s="41"/>
    </row>
    <row r="112" spans="1:15" s="8" customFormat="1" ht="17.25" customHeight="1">
      <c r="A112" s="43" t="s">
        <v>86</v>
      </c>
      <c r="B112" s="44" t="s">
        <v>87</v>
      </c>
      <c r="C112" s="41"/>
      <c r="D112" s="41"/>
      <c r="E112" s="41"/>
      <c r="F112" s="41">
        <v>5</v>
      </c>
      <c r="G112" s="41">
        <v>0</v>
      </c>
      <c r="H112" s="41">
        <v>0</v>
      </c>
      <c r="I112" s="41">
        <f>F112*G112</f>
        <v>0</v>
      </c>
      <c r="J112" s="41">
        <f>F112*H112</f>
        <v>0</v>
      </c>
      <c r="K112" s="42">
        <f>SUM(I112:J112)</f>
        <v>0</v>
      </c>
      <c r="L112" s="11"/>
      <c r="M112" s="41"/>
      <c r="N112" s="41"/>
      <c r="O112" s="41"/>
    </row>
    <row r="113" spans="3:15" s="8" customFormat="1" ht="15.75" customHeight="1">
      <c r="C113" s="11"/>
      <c r="D113" s="11"/>
      <c r="E113" s="11"/>
      <c r="F113" s="11"/>
      <c r="G113" s="11"/>
      <c r="H113" s="11"/>
      <c r="I113" s="15"/>
      <c r="J113" s="15"/>
      <c r="K113" s="15"/>
      <c r="L113" s="11"/>
      <c r="M113" s="11"/>
      <c r="N113" s="11"/>
      <c r="O113" s="11"/>
    </row>
    <row r="114" spans="3:15" s="1" customFormat="1" ht="12.75"/>
    <row r="115" spans="3:15" s="1" customFormat="1" ht="12.75"/>
    <row r="116" spans="3:15" s="1" customFormat="1" ht="12.75"/>
  </sheetData>
  <mergeCells count="22">
    <mergeCell ref="E5:G5"/>
    <mergeCell ref="M11:O11"/>
    <mergeCell ref="C12:C13"/>
    <mergeCell ref="D12:D13"/>
    <mergeCell ref="E12:E13"/>
    <mergeCell ref="F12:F13"/>
    <mergeCell ref="G12:H12"/>
    <mergeCell ref="I12:J12"/>
    <mergeCell ref="M12:M13"/>
    <mergeCell ref="N71:N72"/>
    <mergeCell ref="O71:O72"/>
    <mergeCell ref="A72:B72"/>
    <mergeCell ref="N12:N13"/>
    <mergeCell ref="O12:O13"/>
    <mergeCell ref="A13:B13"/>
    <mergeCell ref="C71:C72"/>
    <mergeCell ref="D71:D72"/>
    <mergeCell ref="E71:E72"/>
    <mergeCell ref="F71:F72"/>
    <mergeCell ref="G71:H71"/>
    <mergeCell ref="I71:J71"/>
    <mergeCell ref="M71:M72"/>
  </mergeCells>
  <pageMargins left="0.35" right="0.35" top="0.76" bottom="0.33" header="0.3" footer="0.3"/>
  <pageSetup paperSize="9" scale="49" orientation="landscape" r:id="rId1"/>
  <rowBreaks count="1" manualBreakCount="1">
    <brk id="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Budget_Sept 5, 2011</vt:lpstr>
      <vt:lpstr>'Revised Budget_Sept 5, 2011'!Print_Area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2011-09-15T10:08:56Z</cp:lastPrinted>
  <dcterms:created xsi:type="dcterms:W3CDTF">2011-05-31T17:11:40Z</dcterms:created>
  <dcterms:modified xsi:type="dcterms:W3CDTF">2011-10-20T17:51:50Z</dcterms:modified>
</cp:coreProperties>
</file>