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40" tabRatio="837" activeTab="0"/>
  </bookViews>
  <sheets>
    <sheet name="LKC I &amp; II,Jan-Dec2014" sheetId="1" r:id="rId1"/>
    <sheet name="LKC I &amp; II detail,Jul-Dec2014" sheetId="2" r:id="rId2"/>
  </sheets>
  <definedNames>
    <definedName name="Date">#REF!</definedName>
    <definedName name="Month">#REF!</definedName>
    <definedName name="_xlnm.Print_Titles" localSheetId="0">'LKC I &amp; II,Jan-Dec2014'!$6:$6</definedName>
    <definedName name="Year">#REF!</definedName>
  </definedNames>
  <calcPr fullCalcOnLoad="1"/>
</workbook>
</file>

<file path=xl/comments1.xml><?xml version="1.0" encoding="utf-8"?>
<comments xmlns="http://schemas.openxmlformats.org/spreadsheetml/2006/main">
  <authors>
    <author>ASEAN-IT</author>
  </authors>
  <commentList>
    <comment ref="C32" authorId="0">
      <text>
        <r>
          <rPr>
            <b/>
            <sz val="9"/>
            <rFont val="Tahoma"/>
            <family val="2"/>
          </rPr>
          <t>Does not yet include cost of hygiene baskets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soy source, fish source, oil, noodle, salt,...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rFont val="Tahoma"/>
            <family val="2"/>
          </rPr>
          <t>for celebratons for Khmer New Year, kids birthday, ...</t>
        </r>
      </text>
    </comment>
    <comment ref="D44" authorId="0">
      <text>
        <r>
          <rPr>
            <b/>
            <sz val="9"/>
            <rFont val="Tahoma"/>
            <family val="2"/>
          </rPr>
          <t>Planning to provided ibus rice to kids families in Oct 2013 for Pchom Ben and April 2014 for Khmer New Year</t>
        </r>
        <r>
          <rPr>
            <sz val="9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rFont val="Tahoma"/>
            <family val="2"/>
          </rPr>
          <t>hair cut, khmer new year,.. Etc.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Taking Community kids to play football every month we and swimming every 3 month at Karovansara, so we spend only transporation and water.
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Taking Pre School kid to eating at Tangram Garden, we spend only Tuktuk and water
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We will ask own teacher come to teache extra class at LKC</t>
        </r>
        <r>
          <rPr>
            <sz val="9"/>
            <rFont val="Tahoma"/>
            <family val="2"/>
          </rPr>
          <t xml:space="preserve">
</t>
        </r>
      </text>
    </comment>
    <comment ref="D119" authorId="0">
      <text>
        <r>
          <rPr>
            <b/>
            <sz val="9"/>
            <rFont val="Tahoma"/>
            <family val="2"/>
          </rPr>
          <t xml:space="preserve">5 staffs for Project Manager, Social Worker, Senior Teacher, Junior Teacher, 
</t>
        </r>
        <r>
          <rPr>
            <sz val="9"/>
            <rFont val="Tahoma"/>
            <family val="2"/>
          </rPr>
          <t xml:space="preserve">
</t>
        </r>
      </text>
    </comment>
    <comment ref="D120" authorId="0">
      <text>
        <r>
          <rPr>
            <b/>
            <sz val="9"/>
            <rFont val="Tahoma"/>
            <family val="2"/>
          </rPr>
          <t>LKC I:</t>
        </r>
        <r>
          <rPr>
            <sz val="9"/>
            <rFont val="Tahoma"/>
            <family val="2"/>
          </rPr>
          <t xml:space="preserve"> 5 staffs for Project Manager, Social Worker, Senior Teacher, Junior Teacher and Assistant.
</t>
        </r>
        <r>
          <rPr>
            <b/>
            <sz val="9"/>
            <rFont val="Tahoma"/>
            <family val="2"/>
          </rPr>
          <t xml:space="preserve">LKC II: </t>
        </r>
        <r>
          <rPr>
            <sz val="9"/>
            <rFont val="Tahoma"/>
            <family val="2"/>
          </rPr>
          <t xml:space="preserve"> Social Worker, Senior Teacher, Junior Teacher, Assistant Teacher, Nurse and English Teacher</t>
        </r>
      </text>
    </comment>
    <comment ref="A3" authorId="0">
      <text>
        <r>
          <rPr>
            <b/>
            <sz val="9"/>
            <rFont val="Tahoma"/>
            <family val="2"/>
          </rPr>
          <t>LKC I</t>
        </r>
        <r>
          <rPr>
            <sz val="9"/>
            <rFont val="Tahoma"/>
            <family val="2"/>
          </rPr>
          <t xml:space="preserve">: 26 pre school kids, 24 public school kids and 46 families.
</t>
        </r>
        <r>
          <rPr>
            <b/>
            <sz val="9"/>
            <rFont val="Tahoma"/>
            <family val="2"/>
          </rPr>
          <t xml:space="preserve">LKC II: </t>
        </r>
        <r>
          <rPr>
            <sz val="9"/>
            <rFont val="Tahoma"/>
            <family val="2"/>
          </rPr>
          <t>27 pre school kids and 25 families.</t>
        </r>
      </text>
    </comment>
    <comment ref="A4" authorId="0">
      <text>
        <r>
          <rPr>
            <b/>
            <sz val="9"/>
            <rFont val="Tahoma"/>
            <family val="2"/>
          </rPr>
          <t xml:space="preserve">LKC I: </t>
        </r>
        <r>
          <rPr>
            <sz val="9"/>
            <rFont val="Tahoma"/>
            <family val="2"/>
          </rPr>
          <t xml:space="preserve">25 pre school kids, 55 public school kids and 75 families.
</t>
        </r>
        <r>
          <rPr>
            <b/>
            <sz val="9"/>
            <rFont val="Tahoma"/>
            <family val="2"/>
          </rPr>
          <t xml:space="preserve">LKC II: </t>
        </r>
        <r>
          <rPr>
            <sz val="9"/>
            <rFont val="Tahoma"/>
            <family val="2"/>
          </rPr>
          <t xml:space="preserve">27 pre school kids, 25 families.
</t>
        </r>
      </text>
    </comment>
    <comment ref="G19" authorId="0">
      <text>
        <r>
          <rPr>
            <b/>
            <sz val="9"/>
            <rFont val="Tahoma"/>
            <family val="2"/>
          </rPr>
          <t>LKC II for Jan-Sep school year 2013-2014</t>
        </r>
        <r>
          <rPr>
            <sz val="9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9"/>
            <rFont val="Tahoma"/>
            <family val="2"/>
          </rPr>
          <t>for school year 2014-2015 for lKC I and lkc ii.</t>
        </r>
        <r>
          <rPr>
            <sz val="9"/>
            <rFont val="Tahoma"/>
            <family val="2"/>
          </rPr>
          <t xml:space="preserve">
</t>
        </r>
      </text>
    </comment>
    <comment ref="P36" authorId="0">
      <text>
        <r>
          <rPr>
            <b/>
            <sz val="9"/>
            <rFont val="Tahoma"/>
            <family val="2"/>
          </rPr>
          <t>15 pre school kids for LKC I and 16 pre school kids for LKC II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 xml:space="preserve">for LKC I year 2013-2014. LKC II we already budget in 2013 budget
</t>
        </r>
      </text>
    </comment>
    <comment ref="L37" authorId="0">
      <text>
        <r>
          <rPr>
            <b/>
            <sz val="9"/>
            <rFont val="Tahoma"/>
            <family val="2"/>
          </rPr>
          <t>LKC I : (26 pre school and 24 public shool)
LKC II: 27 pre school</t>
        </r>
        <r>
          <rPr>
            <sz val="9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rFont val="Tahoma"/>
            <family val="2"/>
          </rPr>
          <t xml:space="preserve">LKC II: 16 new kids
</t>
        </r>
      </text>
    </comment>
    <comment ref="P37" authorId="0">
      <text>
        <r>
          <rPr>
            <b/>
            <sz val="9"/>
            <rFont val="Tahoma"/>
            <family val="2"/>
          </rPr>
          <t>LKC I: 15 new Pre School kids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Lkc I: 26 pre school and 24 public school.
LKC II: 27 pre schhol</t>
        </r>
        <r>
          <rPr>
            <sz val="9"/>
            <rFont val="Tahoma"/>
            <family val="2"/>
          </rPr>
          <t xml:space="preserve">
</t>
        </r>
      </text>
    </comment>
    <comment ref="R38" authorId="0">
      <text>
        <r>
          <rPr>
            <b/>
            <sz val="9"/>
            <rFont val="Tahoma"/>
            <family val="2"/>
          </rPr>
          <t xml:space="preserve">LKc II: 16 new pre school kids
</t>
        </r>
      </text>
    </comment>
    <comment ref="P38" authorId="0">
      <text>
        <r>
          <rPr>
            <b/>
            <sz val="9"/>
            <rFont val="Tahoma"/>
            <family val="2"/>
          </rPr>
          <t xml:space="preserve">LKC I: new pre school kids
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sz val="9"/>
            <rFont val="Tahoma"/>
            <family val="2"/>
          </rPr>
          <t xml:space="preserve">LKC I: 46 families from Jan-Sep.
LKC II: 25 families from Jan-Dec
</t>
        </r>
      </text>
    </comment>
    <comment ref="P44" authorId="0">
      <text>
        <r>
          <rPr>
            <b/>
            <sz val="9"/>
            <rFont val="Tahoma"/>
            <family val="2"/>
          </rPr>
          <t>LKC I: 75
 families from Oct Dec.
LKC II: 25 familes</t>
        </r>
        <r>
          <rPr>
            <sz val="9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9"/>
            <rFont val="Tahoma"/>
            <family val="2"/>
          </rPr>
          <t>LKC I: 46 familes from Jan-Sep
LKC II: 25 families from Jan-Dec</t>
        </r>
        <r>
          <rPr>
            <sz val="9"/>
            <rFont val="Tahoma"/>
            <family val="2"/>
          </rPr>
          <t xml:space="preserve">
</t>
        </r>
      </text>
    </comment>
    <comment ref="P45" authorId="0">
      <text>
        <r>
          <rPr>
            <b/>
            <sz val="9"/>
            <rFont val="Tahoma"/>
            <family val="2"/>
          </rPr>
          <t>LKC I: 62 familes from Jan-Sep
LKC II: 25 families from Jan-Dec</t>
        </r>
        <r>
          <rPr>
            <sz val="9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9"/>
            <rFont val="Tahoma"/>
            <family val="2"/>
          </rPr>
          <t xml:space="preserve">wage for teacher and guitar supplies (LKC I move to LKC II, stop at LKC I)
</t>
        </r>
        <r>
          <rPr>
            <sz val="9"/>
            <rFont val="Tahoma"/>
            <family val="2"/>
          </rPr>
          <t xml:space="preserve">
</t>
        </r>
      </text>
    </comment>
    <comment ref="O75" authorId="0">
      <text>
        <r>
          <rPr>
            <b/>
            <sz val="9"/>
            <rFont val="Tahoma"/>
            <family val="2"/>
          </rPr>
          <t>suppose to hire her as full time staff</t>
        </r>
        <r>
          <rPr>
            <sz val="9"/>
            <rFont val="Tahoma"/>
            <family val="2"/>
          </rPr>
          <t xml:space="preserve">
</t>
        </r>
      </text>
    </comment>
    <comment ref="G75" authorId="0">
      <text>
        <r>
          <rPr>
            <b/>
            <sz val="9"/>
            <rFont val="Tahoma"/>
            <family val="2"/>
          </rPr>
          <t xml:space="preserve">Part time staff
</t>
        </r>
        <r>
          <rPr>
            <sz val="9"/>
            <rFont val="Tahoma"/>
            <family val="2"/>
          </rPr>
          <t xml:space="preserve">
</t>
        </r>
      </text>
    </comment>
    <comment ref="G119" authorId="0">
      <text>
        <r>
          <rPr>
            <sz val="9"/>
            <rFont val="Tahoma"/>
            <family val="2"/>
          </rPr>
          <t xml:space="preserve">Only LKC I
</t>
        </r>
      </text>
    </comment>
    <comment ref="M119" authorId="0">
      <text>
        <r>
          <rPr>
            <b/>
            <sz val="9"/>
            <rFont val="Tahoma"/>
            <family val="2"/>
          </rPr>
          <t>Only LKC I</t>
        </r>
        <r>
          <rPr>
            <sz val="9"/>
            <rFont val="Tahoma"/>
            <family val="2"/>
          </rPr>
          <t xml:space="preserve">
</t>
        </r>
      </text>
    </comment>
    <comment ref="G131" authorId="0">
      <text>
        <r>
          <rPr>
            <b/>
            <sz val="9"/>
            <rFont val="Tahoma"/>
            <family val="2"/>
          </rPr>
          <t>LKC I:</t>
        </r>
        <r>
          <rPr>
            <sz val="9"/>
            <rFont val="Tahoma"/>
            <family val="2"/>
          </rPr>
          <t xml:space="preserve"> $10 for PM and $10 for Social Worker.
</t>
        </r>
        <r>
          <rPr>
            <b/>
            <sz val="9"/>
            <rFont val="Tahoma"/>
            <family val="2"/>
          </rPr>
          <t xml:space="preserve">LKC II: </t>
        </r>
        <r>
          <rPr>
            <sz val="9"/>
            <rFont val="Tahoma"/>
            <family val="2"/>
          </rPr>
          <t>$5 for PM and $10 Social Worker</t>
        </r>
      </text>
    </comment>
    <comment ref="O76" authorId="0">
      <text>
        <r>
          <rPr>
            <b/>
            <sz val="9"/>
            <rFont val="Tahoma"/>
            <family val="2"/>
          </rPr>
          <t>suppose to hire hime for full time</t>
        </r>
        <r>
          <rPr>
            <sz val="9"/>
            <rFont val="Tahoma"/>
            <family val="2"/>
          </rPr>
          <t xml:space="preserve">
</t>
        </r>
      </text>
    </comment>
    <comment ref="D149" authorId="0">
      <text>
        <r>
          <rPr>
            <b/>
            <sz val="9"/>
            <rFont val="Tahoma"/>
            <family val="2"/>
          </rPr>
          <t>$5 for accountant, go to bank, pay electricity, and travel to each program sometime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ASEAN-IT</author>
  </authors>
  <commentList>
    <comment ref="G5" authorId="0">
      <text>
        <r>
          <rPr>
            <b/>
            <sz val="9"/>
            <rFont val="Tahoma"/>
            <family val="2"/>
          </rPr>
          <t>includes: towel, mirror</t>
        </r>
      </text>
    </comment>
    <comment ref="G40" authorId="0">
      <text>
        <r>
          <rPr>
            <b/>
            <sz val="9"/>
            <rFont val="Tahoma"/>
            <family val="2"/>
          </rPr>
          <t>includes: towel, mirror</t>
        </r>
      </text>
    </comment>
    <comment ref="G29" authorId="0">
      <text>
        <r>
          <rPr>
            <b/>
            <sz val="9"/>
            <rFont val="Tahoma"/>
            <family val="2"/>
          </rPr>
          <t>includes: towel, mirror</t>
        </r>
      </text>
    </comment>
    <comment ref="G17" authorId="0">
      <text>
        <r>
          <rPr>
            <b/>
            <sz val="9"/>
            <rFont val="Tahoma"/>
            <family val="2"/>
          </rPr>
          <t>includes: towel, mirror</t>
        </r>
      </text>
    </comment>
  </commentList>
</comments>
</file>

<file path=xl/sharedStrings.xml><?xml version="1.0" encoding="utf-8"?>
<sst xmlns="http://schemas.openxmlformats.org/spreadsheetml/2006/main" count="520" uniqueCount="286">
  <si>
    <t>Total</t>
  </si>
  <si>
    <t>Electricity</t>
  </si>
  <si>
    <t>Repair/Maintenance</t>
  </si>
  <si>
    <t>First Aid Kit</t>
  </si>
  <si>
    <t>Sanitation Service</t>
  </si>
  <si>
    <t>Payroll</t>
  </si>
  <si>
    <t>Project Manager Salary</t>
  </si>
  <si>
    <t>Social Worker Salary</t>
  </si>
  <si>
    <t>Staff Bonus/Benefit</t>
  </si>
  <si>
    <t>Emergency Medical Cases</t>
  </si>
  <si>
    <t>Family Workshop/Speaker</t>
  </si>
  <si>
    <t>Sewing Supplies</t>
  </si>
  <si>
    <t>Assistant Teacher Salary</t>
  </si>
  <si>
    <t>Community Center</t>
  </si>
  <si>
    <t>Technical Advisor Salary</t>
  </si>
  <si>
    <t>Jul</t>
  </si>
  <si>
    <t>Aug</t>
  </si>
  <si>
    <t>Sep</t>
  </si>
  <si>
    <t>Oct</t>
  </si>
  <si>
    <t>Nov</t>
  </si>
  <si>
    <t>Dec</t>
  </si>
  <si>
    <t>Study Supplies (1year)</t>
  </si>
  <si>
    <t>Uniform</t>
  </si>
  <si>
    <t>Cooking-Ingredient</t>
  </si>
  <si>
    <t>Cost/student/year</t>
  </si>
  <si>
    <t>Pencil Box</t>
  </si>
  <si>
    <t>Text book</t>
  </si>
  <si>
    <t>Eraser</t>
  </si>
  <si>
    <t>Pencil sharpener</t>
  </si>
  <si>
    <t>Plastic bag</t>
  </si>
  <si>
    <t>White board</t>
  </si>
  <si>
    <t>Total Cost per child</t>
  </si>
  <si>
    <t>Number</t>
  </si>
  <si>
    <t>Preschool kits</t>
  </si>
  <si>
    <t>Students</t>
  </si>
  <si>
    <t>Units/student/year</t>
  </si>
  <si>
    <t>Hygiene basket</t>
  </si>
  <si>
    <t>Liquid Soap Bulk</t>
  </si>
  <si>
    <t>Anti-pest Shampoo Bulk</t>
  </si>
  <si>
    <t>Toothbrush</t>
  </si>
  <si>
    <t>Toothpaste Bulk</t>
  </si>
  <si>
    <t>Total Cost</t>
  </si>
  <si>
    <t>Description</t>
  </si>
  <si>
    <t>Cleaning/Toiletries</t>
  </si>
  <si>
    <t>Office Repair/Maintenance</t>
  </si>
  <si>
    <t>Motor Repair/Maintenance</t>
  </si>
  <si>
    <t>Gasoline</t>
  </si>
  <si>
    <t>City Water</t>
  </si>
  <si>
    <t>Internet</t>
  </si>
  <si>
    <t>Bicycle</t>
  </si>
  <si>
    <t>Toothpaste</t>
  </si>
  <si>
    <t>Furniture &amp; Equipment</t>
  </si>
  <si>
    <t>Rent &amp; Utilities</t>
  </si>
  <si>
    <t>Telephone &amp; Internet</t>
  </si>
  <si>
    <t>Travel</t>
  </si>
  <si>
    <t>Staff Training/Professional Development</t>
  </si>
  <si>
    <t>Supplies</t>
  </si>
  <si>
    <t>Bank Fee</t>
  </si>
  <si>
    <t>Kitchen Supplies</t>
  </si>
  <si>
    <t>Office Rent</t>
  </si>
  <si>
    <t>Back Pack</t>
  </si>
  <si>
    <t>Transportation</t>
  </si>
  <si>
    <t>Unit cost(Riel)</t>
  </si>
  <si>
    <t>Unit Cost ($)</t>
  </si>
  <si>
    <t>Units/student/month</t>
  </si>
  <si>
    <t>Cost/student/month</t>
  </si>
  <si>
    <t>Soap</t>
  </si>
  <si>
    <t>Anti-pest Shampoo</t>
  </si>
  <si>
    <t>Total Cost per month</t>
  </si>
  <si>
    <t>Units Needed/Year</t>
  </si>
  <si>
    <t>kids</t>
  </si>
  <si>
    <t>Plastic book cover</t>
  </si>
  <si>
    <t xml:space="preserve">Study Supplies </t>
  </si>
  <si>
    <t xml:space="preserve">Hygiene supplies </t>
  </si>
  <si>
    <t>Emergency Fund</t>
  </si>
  <si>
    <r>
      <t>LKC I Expense Detail,</t>
    </r>
    <r>
      <rPr>
        <b/>
        <u val="single"/>
        <sz val="12"/>
        <rFont val="Arial"/>
        <family val="2"/>
      </rPr>
      <t xml:space="preserve"> Study Supplies, Hygience Supplies</t>
    </r>
  </si>
  <si>
    <t>Kids Health Care</t>
  </si>
  <si>
    <t>Account</t>
  </si>
  <si>
    <t>Vitamin for Pre School Kids</t>
  </si>
  <si>
    <t>Helmets</t>
  </si>
  <si>
    <t>Telephone Card</t>
  </si>
  <si>
    <t>Administrative Fund (2% of expenses)</t>
  </si>
  <si>
    <t>Staff Celebrations</t>
  </si>
  <si>
    <t>Lock</t>
  </si>
  <si>
    <t>Social Worker Bonus</t>
  </si>
  <si>
    <t>Staff Event/Occasion</t>
  </si>
  <si>
    <t>Marketing &amp; Promotion</t>
  </si>
  <si>
    <t>Business Card</t>
  </si>
  <si>
    <t>Pamphlet</t>
  </si>
  <si>
    <t>Project Manager Bonus</t>
  </si>
  <si>
    <t>Program</t>
  </si>
  <si>
    <t>Pre-School</t>
  </si>
  <si>
    <t>Public School</t>
  </si>
  <si>
    <t>Wellness</t>
  </si>
  <si>
    <t>Technical Advisor Bonus</t>
  </si>
  <si>
    <t>Assistant Teacher Bonus</t>
  </si>
  <si>
    <t>Security Guard Bonus</t>
  </si>
  <si>
    <t>Staff Farewell</t>
  </si>
  <si>
    <t>Kids Event/Occasion</t>
  </si>
  <si>
    <t>Kids Celebrations</t>
  </si>
  <si>
    <t>Office Supplies/Sationery</t>
  </si>
  <si>
    <t>Nutrition Snack-(Breakfast+Lunch)</t>
  </si>
  <si>
    <t>Shoes</t>
  </si>
  <si>
    <t>Family Rice Package</t>
  </si>
  <si>
    <t>Family Condiment Package</t>
  </si>
  <si>
    <t>Snack &amp; Water for Family Meeting</t>
  </si>
  <si>
    <t>Protractor</t>
  </si>
  <si>
    <t>Ruler</t>
  </si>
  <si>
    <t xml:space="preserve">Vaccinations </t>
  </si>
  <si>
    <t xml:space="preserve">Total Jan-Jun </t>
  </si>
  <si>
    <t>Not using city water yet right now</t>
  </si>
  <si>
    <t>Hygiene Supplies for home use</t>
  </si>
  <si>
    <t>Dental Check up and cleaning</t>
  </si>
  <si>
    <t>Dental follow up</t>
  </si>
  <si>
    <t>Community Building/Food Program</t>
  </si>
  <si>
    <t>Senior Teacher Salary</t>
  </si>
  <si>
    <t>Junior Teacher  Salary</t>
  </si>
  <si>
    <t>Part Time Cleaner/Cooker Salary</t>
  </si>
  <si>
    <t>Bike Repair/Maintenance</t>
  </si>
  <si>
    <t>Senior Teacher Bonus</t>
  </si>
  <si>
    <t>Junior Teacher Bonus</t>
  </si>
  <si>
    <t>Part Time Cleaner/Cooker Bonus</t>
  </si>
  <si>
    <t>Total Transferred for Jan-Jun</t>
  </si>
  <si>
    <t>Amount surplus transferred over budget for Jan-Jun</t>
  </si>
  <si>
    <t>Blue Pen</t>
  </si>
  <si>
    <t>Red Pen</t>
  </si>
  <si>
    <t>Chalk</t>
  </si>
  <si>
    <t>Staff English Class</t>
  </si>
  <si>
    <t>Laundry</t>
  </si>
  <si>
    <t>Design</t>
  </si>
  <si>
    <t>Unit Price</t>
  </si>
  <si>
    <t>Qty</t>
  </si>
  <si>
    <t>Screen</t>
  </si>
  <si>
    <t>Size</t>
  </si>
  <si>
    <t>Colour</t>
  </si>
  <si>
    <t>Garments</t>
  </si>
  <si>
    <t>S</t>
  </si>
  <si>
    <t>M</t>
  </si>
  <si>
    <t>L</t>
  </si>
  <si>
    <t>XXS</t>
  </si>
  <si>
    <t>XS</t>
  </si>
  <si>
    <t>Light blue</t>
  </si>
  <si>
    <t>Red</t>
  </si>
  <si>
    <t>Printing</t>
  </si>
  <si>
    <t>Front</t>
  </si>
  <si>
    <t>Royal blue</t>
  </si>
  <si>
    <t>Pink</t>
  </si>
  <si>
    <t>Yellow</t>
  </si>
  <si>
    <t>Green</t>
  </si>
  <si>
    <t>Subtotal</t>
  </si>
  <si>
    <t>Discount on unprinted garments (%)</t>
  </si>
  <si>
    <t>Grand Total</t>
  </si>
  <si>
    <t>Price per garment</t>
  </si>
  <si>
    <t>Vocational Training</t>
  </si>
  <si>
    <t>Micro loans</t>
  </si>
  <si>
    <t>Family Event</t>
  </si>
  <si>
    <t>Family Development</t>
  </si>
  <si>
    <t>University Cost</t>
  </si>
  <si>
    <t>Uniform (T Shirt)</t>
  </si>
  <si>
    <t>Arts &amp; Crafts</t>
  </si>
  <si>
    <t>Kids Graduation</t>
  </si>
  <si>
    <t>Polo Shirt - Khmer Quality (staff)</t>
  </si>
  <si>
    <t>T-shirt - Khmer Quality (kid)</t>
  </si>
  <si>
    <t xml:space="preserve">Recreational &amp; Therapeutic </t>
  </si>
  <si>
    <t>Recreational &amp; Therapeutic</t>
  </si>
  <si>
    <t>Program Development</t>
  </si>
  <si>
    <t>Monitoring &amp; Evaluation</t>
  </si>
  <si>
    <t>Uniform (Shorts/Skirts)</t>
  </si>
  <si>
    <t>Pre School, Study Supplies</t>
  </si>
  <si>
    <t>Public School, School Supplies Grade 1</t>
  </si>
  <si>
    <t>Public School, School Supplies Grade 3</t>
  </si>
  <si>
    <t>Public School, School Supplies Grade 2</t>
  </si>
  <si>
    <t>Budget from January-December 2014</t>
  </si>
  <si>
    <t>Jan</t>
  </si>
  <si>
    <t>Feb</t>
  </si>
  <si>
    <t>Mar</t>
  </si>
  <si>
    <t>Apr</t>
  </si>
  <si>
    <t>May</t>
  </si>
  <si>
    <t>Jun</t>
  </si>
  <si>
    <t xml:space="preserve">see the link for detail </t>
  </si>
  <si>
    <t>Tutoring Class</t>
  </si>
  <si>
    <t>Oct 2014-Aug 2015</t>
  </si>
  <si>
    <t>For School year 2014-2015</t>
  </si>
  <si>
    <t>Public School, School Supplies Grade 4</t>
  </si>
  <si>
    <t>TOTAL LOTUS KIDS CLUB BUDGET 2014</t>
  </si>
  <si>
    <t>Hygiene Supplies for program use</t>
  </si>
  <si>
    <t>Accountant Salary</t>
  </si>
  <si>
    <t>Security Guard Salary</t>
  </si>
  <si>
    <t>Accountant Bonus</t>
  </si>
  <si>
    <t xml:space="preserve">$40/month/2 teachers for Extra class </t>
  </si>
  <si>
    <t>Nurse Supervision</t>
  </si>
  <si>
    <t>Bicycle Parking</t>
  </si>
  <si>
    <t>LOTUS KIDS CLUB I AND II PROGRAM</t>
  </si>
  <si>
    <t>T-Shirt Cost (2 for staff, 2 for kid) for LKC I</t>
  </si>
  <si>
    <t>T-Shirt Cost (2 for staff, 2 for kid) for LKC II</t>
  </si>
  <si>
    <t>LKC I</t>
  </si>
  <si>
    <t>LKC II</t>
  </si>
  <si>
    <t>Pre School LKC I Hygiene Supplies Jan-Sept</t>
  </si>
  <si>
    <t>Pre School LKC II Hygiene Supplies Jan-Sept</t>
  </si>
  <si>
    <t>Pre School LKC I Hygiene Supplies Oct-Dec</t>
  </si>
  <si>
    <t>Pre School LKC II Hygiene Supplies Oct-Dec</t>
  </si>
  <si>
    <t>$20/month</t>
  </si>
  <si>
    <t>for Pre School kids and Community kids, $100/each program</t>
  </si>
  <si>
    <t>for Pre School kids and Community kids $10/each program</t>
  </si>
  <si>
    <t>$10/each program</t>
  </si>
  <si>
    <t>$40/each program</t>
  </si>
  <si>
    <t>$10/ each program</t>
  </si>
  <si>
    <t>($5 for snack &amp; $5 for water/month)/each program</t>
  </si>
  <si>
    <t>$10/month/ each program</t>
  </si>
  <si>
    <t>2 time/year (Khmer new year &amp; Western new year)/ each program</t>
  </si>
  <si>
    <t>(10 families @ $200 for family kid in school year 2013-2014 )/each program</t>
  </si>
  <si>
    <t>(10 families @ $200 for family kid in school year 2013-2014) each program</t>
  </si>
  <si>
    <t>(4 times/month @$20)/ each program</t>
  </si>
  <si>
    <t>Music Program</t>
  </si>
  <si>
    <t>$30/month/ each program</t>
  </si>
  <si>
    <t>Nurse Salary</t>
  </si>
  <si>
    <t>English Teacher</t>
  </si>
  <si>
    <t xml:space="preserve"> 2 Security Guards</t>
  </si>
  <si>
    <t>Nurse Bonus</t>
  </si>
  <si>
    <t>English Teacher Bonus</t>
  </si>
  <si>
    <t>2 Security Guards Bonus</t>
  </si>
  <si>
    <t>LKC II, Bonus</t>
  </si>
  <si>
    <t>LKC I, Bonus</t>
  </si>
  <si>
    <t>(every quarter 5 staffs @ $160, LKC I)&amp;(every quarter 6 staff @$160, LKC II)</t>
  </si>
  <si>
    <t>$50/year/ each program</t>
  </si>
  <si>
    <t>$100/year/each program</t>
  </si>
  <si>
    <t>($250/month, LKC I) and ($350/month, LKC II)</t>
  </si>
  <si>
    <t>(Estimated $30/month,LKC I) &amp; ($40/month,LKC II)</t>
  </si>
  <si>
    <t>$12/month/each program</t>
  </si>
  <si>
    <t>$20/LKC I and $15/LKC II</t>
  </si>
  <si>
    <t>$15/month / each program</t>
  </si>
  <si>
    <t>Estimated $15/month / each program</t>
  </si>
  <si>
    <t>Estimated $10/every three month / each program</t>
  </si>
  <si>
    <t>Estimated $5/every three month each program</t>
  </si>
  <si>
    <t>Estimated $20/month /each program</t>
  </si>
  <si>
    <t>Estimated $15/month /each program</t>
  </si>
  <si>
    <t>Estimated $4 @ 3 weeks/month/ each program</t>
  </si>
  <si>
    <t>Estimated $15/every 3month/ each program</t>
  </si>
  <si>
    <t>Estimated $10/every 2month/ each program</t>
  </si>
  <si>
    <t>Estimated $10/month/ each program</t>
  </si>
  <si>
    <t>School Year 2013-2014: 53 Pre School Kids, 24 Public School Kids, 71 Families</t>
  </si>
  <si>
    <t xml:space="preserve">Public School Hygiene Supplies Jan-Sep </t>
  </si>
  <si>
    <t>Public School Hygiene Supplies Oct-Dec</t>
  </si>
  <si>
    <t>School Year 2014-2015: 52 Pre School Kids, 55 Public School Kids, 100 Families</t>
  </si>
  <si>
    <t>$7/55 students/ back pack/ year</t>
  </si>
  <si>
    <t>$9/55 students/ 2 uniform/ year ( 2 pans and 2 shirts)</t>
  </si>
  <si>
    <t xml:space="preserve">2 pairs/55 students/year @$3/pair </t>
  </si>
  <si>
    <t>$1/ every 2 months/ (26+27)students in Jan-Aug &amp; (25+27) students in Oct-Dec</t>
  </si>
  <si>
    <t>2pairs/$4/pair/(25+27) studens/year (for school year 2014-2015)</t>
  </si>
  <si>
    <t>2pairs/$4/pair/(25+27) students/year (for school year 2014-2015)</t>
  </si>
  <si>
    <t xml:space="preserve">21days/$0.75/ (26+27) students in Jan-Sep &amp; (25+27) students in Oct-Dec </t>
  </si>
  <si>
    <t>(Jan for LKC II for Jan-Sep 2013-2014) &amp; (Oct for LKC I and LKC II for 2014-2015)</t>
  </si>
  <si>
    <t>$20 / each program for every 3 months</t>
  </si>
  <si>
    <t>$35/bike/31 new students</t>
  </si>
  <si>
    <t>$7/helmet/31 new students</t>
  </si>
  <si>
    <t>$3/lock/31 new students</t>
  </si>
  <si>
    <t xml:space="preserve">24 days /month/200Riels/day/(24 students from Jan-Aug) and(55 students from Oct-Dec) </t>
  </si>
  <si>
    <t>$84/(26+24)students for LKC I for 2013-2014 in Jan)&amp;(15+16) new students for LKC I &amp; LKC II in Oct)</t>
  </si>
  <si>
    <t>estimated $5/(26+24+27)studens for LKC 1 &amp; 2 in June) &amp; (15 +16 ) new students at LKC I &amp; LKC II in Oct &amp; Nov)</t>
  </si>
  <si>
    <t>estimated $30/(26+24+27)studens for LKC 1 &amp; 2 in Jan) &amp; (15 +16 ) new students at LKC I &amp; LKC II in Oct &amp; Dec)</t>
  </si>
  <si>
    <t>6kg/R2500/month/(46+25) families from Jan-Sep) &amp; (75+25) families from Oct-Dec)</t>
  </si>
  <si>
    <t>$2.50/month/(46+25) families from Jan-Sep) &amp; (75+25) families from Oct-Dec)</t>
  </si>
  <si>
    <t>$5 for supplies and $35 for Music Instructors at LKC II</t>
  </si>
  <si>
    <t>every year by TLC</t>
  </si>
  <si>
    <t>Staff Training/Workshop</t>
  </si>
  <si>
    <t>LKC I, Health Insurance</t>
  </si>
  <si>
    <t>LKC II, Health Insurance</t>
  </si>
  <si>
    <t xml:space="preserve">Project Manager </t>
  </si>
  <si>
    <t>Technical Advisor</t>
  </si>
  <si>
    <t>Social Worker</t>
  </si>
  <si>
    <t xml:space="preserve">Senior Teacher </t>
  </si>
  <si>
    <t xml:space="preserve">Junior Teacher </t>
  </si>
  <si>
    <t xml:space="preserve">Assistant Teacher </t>
  </si>
  <si>
    <t xml:space="preserve">Security Guard </t>
  </si>
  <si>
    <t xml:space="preserve">Social Worker </t>
  </si>
  <si>
    <t xml:space="preserve">2 Security Guards </t>
  </si>
  <si>
    <t>Accountant</t>
  </si>
  <si>
    <t>4 staffs @ $ 430/ semester at Pannasastra University, LKC I</t>
  </si>
  <si>
    <t>$119/staff/year ($38 for personal accident &amp; $81 for hopital and surgical)</t>
  </si>
  <si>
    <t>Flight Ticket for Ex-pat</t>
  </si>
  <si>
    <t>$100 for Khmer New Year, no bonus during probation</t>
  </si>
  <si>
    <t>$50 for Khmer New Year, no bonus during probation</t>
  </si>
  <si>
    <t>Flight Ticket</t>
  </si>
  <si>
    <t xml:space="preserve">Estimated $15/month/ each program  &amp; $5.00 for Accountant </t>
  </si>
  <si>
    <t>Visa for Ex-pat</t>
  </si>
  <si>
    <t>Visa one year 2014-2015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</si>
</sst>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0"/>
    <numFmt numFmtId="173" formatCode="000"/>
    <numFmt numFmtId="174" formatCode="mm/dd/yyyy"/>
    <numFmt numFmtId="175" formatCode="_-* #,##0_-;\-* #,##0_-;_-* &quot;-&quot;??_-;_-@_-"/>
    <numFmt numFmtId="176" formatCode="mm/dd/yy"/>
    <numFmt numFmtId="177" formatCode="dd\-mmm\-yy"/>
    <numFmt numFmtId="178" formatCode="_(* #,##0_);_(* \(#,##0\);_(* &quot;-&quot;??_);_(@_)"/>
    <numFmt numFmtId="179" formatCode="#,##0.00;\-#,##0.00"/>
    <numFmt numFmtId="180" formatCode="_-* #,##0.00\ &quot;€&quot;_-;\-* #,##0.00\ &quot;€&quot;_-;_-* &quot;-&quot;??\ &quot;€&quot;_-;_-@_-"/>
    <numFmt numFmtId="181" formatCode="_([$$-409]* #,##0.00_);_([$$-409]* \(#,##0.00\);_([$$-409]* &quot;-&quot;??_);_(@_)"/>
    <numFmt numFmtId="182" formatCode="##,###"/>
    <numFmt numFmtId="183" formatCode="&quot;$&quot;#,##0.00"/>
  </numFmts>
  <fonts count="36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18"/>
      <name val="Arial"/>
      <family val="2"/>
    </font>
    <font>
      <sz val="9"/>
      <name val="Tahoma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0" fontId="6" fillId="0" borderId="0" xfId="46" applyFont="1" applyBorder="1" applyAlignment="1">
      <alignment/>
    </xf>
    <xf numFmtId="0" fontId="21" fillId="0" borderId="0" xfId="0" applyFont="1" applyBorder="1" applyAlignment="1">
      <alignment horizontal="center"/>
    </xf>
    <xf numFmtId="49" fontId="21" fillId="0" borderId="0" xfId="46" applyNumberFormat="1" applyFont="1" applyBorder="1" applyAlignment="1">
      <alignment/>
    </xf>
    <xf numFmtId="0" fontId="21" fillId="0" borderId="0" xfId="46" applyNumberFormat="1" applyFont="1" applyBorder="1" applyAlignment="1">
      <alignment/>
    </xf>
    <xf numFmtId="0" fontId="21" fillId="0" borderId="0" xfId="0" applyFont="1" applyBorder="1" applyAlignment="1">
      <alignment/>
    </xf>
    <xf numFmtId="170" fontId="21" fillId="0" borderId="0" xfId="46" applyFont="1" applyBorder="1" applyAlignment="1">
      <alignment/>
    </xf>
    <xf numFmtId="170" fontId="21" fillId="0" borderId="10" xfId="46" applyFont="1" applyBorder="1" applyAlignment="1">
      <alignment/>
    </xf>
    <xf numFmtId="170" fontId="6" fillId="0" borderId="10" xfId="46" applyFont="1" applyBorder="1" applyAlignment="1">
      <alignment/>
    </xf>
    <xf numFmtId="0" fontId="21" fillId="0" borderId="11" xfId="66" applyNumberFormat="1" applyFont="1" applyBorder="1" applyAlignment="1">
      <alignment/>
    </xf>
    <xf numFmtId="49" fontId="21" fillId="0" borderId="11" xfId="66" applyNumberFormat="1" applyFont="1" applyBorder="1" applyAlignment="1">
      <alignment/>
    </xf>
    <xf numFmtId="49" fontId="6" fillId="0" borderId="11" xfId="66" applyNumberFormat="1" applyFont="1" applyBorder="1" applyAlignment="1">
      <alignment/>
    </xf>
    <xf numFmtId="49" fontId="22" fillId="0" borderId="11" xfId="66" applyNumberFormat="1" applyFont="1" applyBorder="1" applyAlignment="1">
      <alignment/>
    </xf>
    <xf numFmtId="170" fontId="21" fillId="0" borderId="12" xfId="46" applyFont="1" applyBorder="1" applyAlignment="1">
      <alignment horizontal="center"/>
    </xf>
    <xf numFmtId="170" fontId="21" fillId="24" borderId="12" xfId="46" applyFont="1" applyFill="1" applyBorder="1" applyAlignment="1">
      <alignment horizontal="center"/>
    </xf>
    <xf numFmtId="170" fontId="6" fillId="24" borderId="10" xfId="46" applyFont="1" applyFill="1" applyBorder="1" applyAlignment="1">
      <alignment/>
    </xf>
    <xf numFmtId="170" fontId="23" fillId="0" borderId="10" xfId="46" applyFont="1" applyBorder="1" applyAlignment="1">
      <alignment/>
    </xf>
    <xf numFmtId="0" fontId="21" fillId="0" borderId="0" xfId="0" applyFont="1" applyAlignment="1">
      <alignment/>
    </xf>
    <xf numFmtId="0" fontId="6" fillId="0" borderId="13" xfId="0" applyFont="1" applyBorder="1" applyAlignment="1">
      <alignment/>
    </xf>
    <xf numFmtId="181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181" fontId="21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25" fillId="0" borderId="0" xfId="0" applyFont="1" applyAlignment="1">
      <alignment/>
    </xf>
    <xf numFmtId="49" fontId="6" fillId="0" borderId="14" xfId="46" applyNumberFormat="1" applyFont="1" applyBorder="1" applyAlignment="1">
      <alignment/>
    </xf>
    <xf numFmtId="49" fontId="21" fillId="0" borderId="14" xfId="46" applyNumberFormat="1" applyFont="1" applyBorder="1" applyAlignment="1">
      <alignment/>
    </xf>
    <xf numFmtId="49" fontId="6" fillId="0" borderId="0" xfId="46" applyNumberFormat="1" applyFont="1" applyBorder="1" applyAlignment="1">
      <alignment/>
    </xf>
    <xf numFmtId="49" fontId="22" fillId="0" borderId="0" xfId="46" applyNumberFormat="1" applyFont="1" applyBorder="1" applyAlignment="1">
      <alignment/>
    </xf>
    <xf numFmtId="170" fontId="21" fillId="24" borderId="10" xfId="46" applyFont="1" applyFill="1" applyBorder="1" applyAlignment="1">
      <alignment/>
    </xf>
    <xf numFmtId="170" fontId="21" fillId="0" borderId="10" xfId="46" applyFont="1" applyFill="1" applyBorder="1" applyAlignment="1">
      <alignment/>
    </xf>
    <xf numFmtId="170" fontId="23" fillId="0" borderId="10" xfId="46" applyFont="1" applyFill="1" applyBorder="1" applyAlignment="1">
      <alignment/>
    </xf>
    <xf numFmtId="0" fontId="0" fillId="0" borderId="13" xfId="0" applyBorder="1" applyAlignment="1">
      <alignment/>
    </xf>
    <xf numFmtId="49" fontId="21" fillId="0" borderId="10" xfId="46" applyNumberFormat="1" applyFont="1" applyBorder="1" applyAlignment="1">
      <alignment/>
    </xf>
    <xf numFmtId="49" fontId="6" fillId="0" borderId="10" xfId="46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66" applyNumberFormat="1" applyFont="1" applyBorder="1" applyAlignment="1">
      <alignment/>
    </xf>
    <xf numFmtId="0" fontId="28" fillId="0" borderId="0" xfId="46" applyNumberFormat="1" applyFont="1" applyBorder="1" applyAlignment="1">
      <alignment/>
    </xf>
    <xf numFmtId="0" fontId="28" fillId="0" borderId="0" xfId="66" applyNumberFormat="1" applyFont="1" applyBorder="1" applyAlignment="1">
      <alignment/>
    </xf>
    <xf numFmtId="170" fontId="28" fillId="0" borderId="0" xfId="46" applyFont="1" applyBorder="1" applyAlignment="1">
      <alignment/>
    </xf>
    <xf numFmtId="170" fontId="29" fillId="0" borderId="0" xfId="46" applyFont="1" applyBorder="1" applyAlignment="1">
      <alignment/>
    </xf>
    <xf numFmtId="0" fontId="29" fillId="0" borderId="0" xfId="0" applyFont="1" applyBorder="1" applyAlignment="1">
      <alignment/>
    </xf>
    <xf numFmtId="170" fontId="30" fillId="0" borderId="0" xfId="46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18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46" applyNumberFormat="1" applyFont="1" applyBorder="1" applyAlignment="1">
      <alignment/>
    </xf>
    <xf numFmtId="181" fontId="0" fillId="25" borderId="0" xfId="0" applyNumberFormat="1" applyFill="1" applyAlignment="1">
      <alignment/>
    </xf>
    <xf numFmtId="0" fontId="6" fillId="0" borderId="13" xfId="0" applyFont="1" applyBorder="1" applyAlignment="1">
      <alignment horizontal="center" wrapText="1"/>
    </xf>
    <xf numFmtId="181" fontId="6" fillId="0" borderId="13" xfId="46" applyNumberFormat="1" applyFont="1" applyBorder="1" applyAlignment="1">
      <alignment/>
    </xf>
    <xf numFmtId="181" fontId="0" fillId="0" borderId="13" xfId="46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21" fillId="0" borderId="0" xfId="66" applyNumberFormat="1" applyFont="1" applyBorder="1" applyAlignment="1">
      <alignment/>
    </xf>
    <xf numFmtId="49" fontId="22" fillId="24" borderId="15" xfId="66" applyNumberFormat="1" applyFont="1" applyFill="1" applyBorder="1" applyAlignment="1">
      <alignment/>
    </xf>
    <xf numFmtId="49" fontId="22" fillId="24" borderId="16" xfId="46" applyNumberFormat="1" applyFont="1" applyFill="1" applyBorder="1" applyAlignment="1">
      <alignment/>
    </xf>
    <xf numFmtId="170" fontId="22" fillId="24" borderId="17" xfId="46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66" applyNumberFormat="1" applyFont="1" applyBorder="1" applyAlignment="1">
      <alignment/>
    </xf>
    <xf numFmtId="49" fontId="6" fillId="0" borderId="0" xfId="66" applyNumberFormat="1" applyFont="1" applyBorder="1" applyAlignment="1">
      <alignment/>
    </xf>
    <xf numFmtId="49" fontId="21" fillId="0" borderId="0" xfId="66" applyNumberFormat="1" applyFont="1" applyBorder="1" applyAlignment="1">
      <alignment/>
    </xf>
    <xf numFmtId="49" fontId="22" fillId="24" borderId="16" xfId="66" applyNumberFormat="1" applyFont="1" applyFill="1" applyBorder="1" applyAlignment="1">
      <alignment/>
    </xf>
    <xf numFmtId="49" fontId="21" fillId="0" borderId="11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25" borderId="0" xfId="0" applyFill="1" applyAlignment="1">
      <alignment/>
    </xf>
    <xf numFmtId="49" fontId="22" fillId="24" borderId="18" xfId="66" applyNumberFormat="1" applyFont="1" applyFill="1" applyBorder="1" applyAlignment="1">
      <alignment/>
    </xf>
    <xf numFmtId="49" fontId="22" fillId="24" borderId="19" xfId="46" applyNumberFormat="1" applyFont="1" applyFill="1" applyBorder="1" applyAlignment="1">
      <alignment/>
    </xf>
    <xf numFmtId="170" fontId="22" fillId="24" borderId="13" xfId="46" applyFont="1" applyFill="1" applyBorder="1" applyAlignment="1">
      <alignment/>
    </xf>
    <xf numFmtId="49" fontId="21" fillId="24" borderId="19" xfId="66" applyNumberFormat="1" applyFont="1" applyFill="1" applyBorder="1" applyAlignment="1">
      <alignment/>
    </xf>
    <xf numFmtId="49" fontId="21" fillId="24" borderId="19" xfId="46" applyNumberFormat="1" applyFont="1" applyFill="1" applyBorder="1" applyAlignment="1">
      <alignment/>
    </xf>
    <xf numFmtId="0" fontId="6" fillId="25" borderId="13" xfId="0" applyFont="1" applyFill="1" applyBorder="1" applyAlignment="1">
      <alignment/>
    </xf>
    <xf numFmtId="181" fontId="0" fillId="25" borderId="13" xfId="0" applyNumberFormat="1" applyFill="1" applyBorder="1" applyAlignment="1">
      <alignment/>
    </xf>
    <xf numFmtId="49" fontId="6" fillId="0" borderId="14" xfId="46" applyNumberFormat="1" applyFont="1" applyFill="1" applyBorder="1" applyAlignment="1">
      <alignment/>
    </xf>
    <xf numFmtId="49" fontId="6" fillId="0" borderId="10" xfId="46" applyNumberFormat="1" applyFont="1" applyFill="1" applyBorder="1" applyAlignment="1">
      <alignment/>
    </xf>
    <xf numFmtId="49" fontId="22" fillId="0" borderId="18" xfId="66" applyNumberFormat="1" applyFont="1" applyFill="1" applyBorder="1" applyAlignment="1">
      <alignment/>
    </xf>
    <xf numFmtId="49" fontId="21" fillId="0" borderId="19" xfId="66" applyNumberFormat="1" applyFont="1" applyFill="1" applyBorder="1" applyAlignment="1">
      <alignment/>
    </xf>
    <xf numFmtId="49" fontId="21" fillId="0" borderId="19" xfId="46" applyNumberFormat="1" applyFont="1" applyFill="1" applyBorder="1" applyAlignment="1">
      <alignment/>
    </xf>
    <xf numFmtId="49" fontId="22" fillId="0" borderId="19" xfId="46" applyNumberFormat="1" applyFont="1" applyFill="1" applyBorder="1" applyAlignment="1">
      <alignment/>
    </xf>
    <xf numFmtId="170" fontId="22" fillId="0" borderId="13" xfId="46" applyFont="1" applyFill="1" applyBorder="1" applyAlignment="1">
      <alignment/>
    </xf>
    <xf numFmtId="0" fontId="22" fillId="0" borderId="0" xfId="0" applyFont="1" applyAlignment="1">
      <alignment/>
    </xf>
    <xf numFmtId="170" fontId="6" fillId="0" borderId="0" xfId="46" applyFont="1" applyAlignment="1">
      <alignment/>
    </xf>
    <xf numFmtId="170" fontId="6" fillId="0" borderId="13" xfId="46" applyFont="1" applyBorder="1" applyAlignment="1">
      <alignment/>
    </xf>
    <xf numFmtId="170" fontId="21" fillId="0" borderId="13" xfId="0" applyNumberFormat="1" applyFont="1" applyBorder="1" applyAlignment="1">
      <alignment/>
    </xf>
    <xf numFmtId="44" fontId="6" fillId="0" borderId="13" xfId="0" applyNumberFormat="1" applyFont="1" applyBorder="1" applyAlignment="1">
      <alignment/>
    </xf>
    <xf numFmtId="44" fontId="21" fillId="0" borderId="13" xfId="0" applyNumberFormat="1" applyFont="1" applyBorder="1" applyAlignment="1">
      <alignment/>
    </xf>
    <xf numFmtId="170" fontId="6" fillId="0" borderId="20" xfId="46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70" fontId="6" fillId="0" borderId="11" xfId="46" applyFont="1" applyBorder="1" applyAlignment="1">
      <alignment/>
    </xf>
    <xf numFmtId="0" fontId="6" fillId="0" borderId="14" xfId="0" applyFont="1" applyBorder="1" applyAlignment="1">
      <alignment/>
    </xf>
    <xf numFmtId="170" fontId="6" fillId="0" borderId="23" xfId="46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/>
    </xf>
    <xf numFmtId="44" fontId="21" fillId="0" borderId="26" xfId="0" applyNumberFormat="1" applyFont="1" applyBorder="1" applyAlignment="1">
      <alignment/>
    </xf>
    <xf numFmtId="49" fontId="6" fillId="0" borderId="11" xfId="66" applyNumberFormat="1" applyFont="1" applyFill="1" applyBorder="1" applyAlignment="1">
      <alignment/>
    </xf>
    <xf numFmtId="49" fontId="6" fillId="0" borderId="0" xfId="66" applyNumberFormat="1" applyFont="1" applyFill="1" applyBorder="1" applyAlignment="1">
      <alignment/>
    </xf>
    <xf numFmtId="49" fontId="6" fillId="0" borderId="0" xfId="46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81" fontId="34" fillId="0" borderId="13" xfId="46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170" fontId="6" fillId="0" borderId="10" xfId="46" applyFont="1" applyFill="1" applyBorder="1" applyAlignment="1">
      <alignment/>
    </xf>
    <xf numFmtId="181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33" fillId="0" borderId="0" xfId="46" applyNumberFormat="1" applyFont="1" applyBorder="1" applyAlignment="1">
      <alignment horizontal="center"/>
    </xf>
    <xf numFmtId="0" fontId="32" fillId="0" borderId="0" xfId="46" applyNumberFormat="1" applyFont="1" applyBorder="1" applyAlignment="1">
      <alignment horizontal="center"/>
    </xf>
    <xf numFmtId="0" fontId="31" fillId="0" borderId="0" xfId="46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3" xfId="45"/>
    <cellStyle name="Currency" xfId="46"/>
    <cellStyle name="Currency [0]" xfId="47"/>
    <cellStyle name="Currency 4 2" xfId="48"/>
    <cellStyle name="Currency 4 2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 3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58"/>
  <sheetViews>
    <sheetView tabSelected="1" workbookViewId="0" topLeftCell="A1">
      <pane xSplit="6" ySplit="6" topLeftCell="G10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22" sqref="D122"/>
    </sheetView>
  </sheetViews>
  <sheetFormatPr defaultColWidth="9.00390625" defaultRowHeight="12.75" outlineLevelRow="1"/>
  <cols>
    <col min="1" max="1" width="1.875" style="10" customWidth="1"/>
    <col min="2" max="2" width="1.875" style="58" customWidth="1"/>
    <col min="3" max="3" width="25.875" style="5" customWidth="1"/>
    <col min="4" max="4" width="67.375" style="5" customWidth="1"/>
    <col min="5" max="5" width="10.75390625" style="7" bestFit="1" customWidth="1"/>
    <col min="6" max="6" width="0.875" style="2" customWidth="1"/>
    <col min="7" max="7" width="10.375" style="2" bestFit="1" customWidth="1"/>
    <col min="8" max="9" width="9.00390625" style="2" customWidth="1"/>
    <col min="10" max="10" width="10.75390625" style="2" customWidth="1"/>
    <col min="11" max="12" width="9.00390625" style="2" customWidth="1"/>
    <col min="13" max="14" width="9.875" style="2" bestFit="1" customWidth="1"/>
    <col min="15" max="15" width="10.125" style="2" customWidth="1"/>
    <col min="16" max="16" width="9.875" style="2" bestFit="1" customWidth="1"/>
    <col min="17" max="18" width="9.00390625" style="2" customWidth="1"/>
    <col min="19" max="16384" width="9.00390625" style="1" customWidth="1"/>
  </cols>
  <sheetData>
    <row r="1" spans="1:18" s="45" customFormat="1" ht="23.25">
      <c r="A1" s="125" t="s">
        <v>192</v>
      </c>
      <c r="B1" s="125"/>
      <c r="C1" s="125"/>
      <c r="D1" s="125"/>
      <c r="E1" s="125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43" customFormat="1" ht="20.25" customHeight="1">
      <c r="A2" s="126" t="s">
        <v>172</v>
      </c>
      <c r="B2" s="126"/>
      <c r="C2" s="126"/>
      <c r="D2" s="126"/>
      <c r="E2" s="12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3" customFormat="1" ht="20.25" customHeight="1">
      <c r="A3" s="127" t="s">
        <v>240</v>
      </c>
      <c r="B3" s="127"/>
      <c r="C3" s="127"/>
      <c r="D3" s="127"/>
      <c r="E3" s="12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43" customFormat="1" ht="20.25" customHeight="1">
      <c r="A4" s="127" t="s">
        <v>243</v>
      </c>
      <c r="B4" s="127"/>
      <c r="C4" s="127"/>
      <c r="D4" s="127"/>
      <c r="E4" s="12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43" customFormat="1" ht="8.25" customHeight="1">
      <c r="A5" s="39"/>
      <c r="B5" s="40"/>
      <c r="D5" s="39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3" customFormat="1" ht="25.5" customHeight="1">
      <c r="A6" s="122" t="s">
        <v>77</v>
      </c>
      <c r="B6" s="123"/>
      <c r="C6" s="124"/>
      <c r="D6" s="71" t="s">
        <v>42</v>
      </c>
      <c r="E6" s="14" t="s">
        <v>0</v>
      </c>
      <c r="F6" s="15"/>
      <c r="G6" s="14" t="s">
        <v>173</v>
      </c>
      <c r="H6" s="14" t="s">
        <v>174</v>
      </c>
      <c r="I6" s="14" t="s">
        <v>175</v>
      </c>
      <c r="J6" s="14" t="s">
        <v>176</v>
      </c>
      <c r="K6" s="14" t="s">
        <v>177</v>
      </c>
      <c r="L6" s="14" t="s">
        <v>178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</row>
    <row r="7" spans="1:18" ht="8.25" customHeight="1" outlineLevel="1">
      <c r="A7" s="11"/>
      <c r="B7" s="65"/>
      <c r="C7" s="4"/>
      <c r="D7" s="35"/>
      <c r="E7" s="8"/>
      <c r="F7" s="1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5.5" customHeight="1" outlineLevel="1">
      <c r="A8" s="13" t="s">
        <v>91</v>
      </c>
      <c r="B8" s="63"/>
      <c r="C8" s="4"/>
      <c r="D8" s="35"/>
      <c r="E8" s="8"/>
      <c r="F8" s="1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9.5" customHeight="1" outlineLevel="1">
      <c r="A9" s="13"/>
      <c r="B9" s="65" t="s">
        <v>90</v>
      </c>
      <c r="C9" s="28"/>
      <c r="D9" s="110"/>
      <c r="E9" s="8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 outlineLevel="1">
      <c r="A10" s="12"/>
      <c r="B10" s="64"/>
      <c r="C10" s="70" t="s">
        <v>21</v>
      </c>
      <c r="D10" s="110" t="s">
        <v>182</v>
      </c>
      <c r="E10" s="8">
        <f>SUM(G10:R10)</f>
        <v>455</v>
      </c>
      <c r="F10" s="16"/>
      <c r="G10" s="17"/>
      <c r="H10" s="17"/>
      <c r="I10" s="17"/>
      <c r="J10" s="17"/>
      <c r="K10" s="17"/>
      <c r="L10" s="17"/>
      <c r="M10" s="17"/>
      <c r="N10" s="17"/>
      <c r="O10" s="17">
        <f>'LKC I &amp; II detail,Jul-Dec2014'!B15*'LKC I &amp; II detail,Jul-Dec2014'!E12</f>
        <v>455</v>
      </c>
      <c r="P10" s="17"/>
      <c r="Q10" s="17"/>
      <c r="R10" s="17"/>
    </row>
    <row r="11" spans="1:18" ht="12.75" outlineLevel="1">
      <c r="A11" s="12"/>
      <c r="B11" s="64"/>
      <c r="C11" s="70" t="s">
        <v>159</v>
      </c>
      <c r="D11" s="111" t="s">
        <v>205</v>
      </c>
      <c r="E11" s="8">
        <f>SUM(G11:R11)</f>
        <v>880</v>
      </c>
      <c r="F11" s="16"/>
      <c r="G11" s="17">
        <f>2*40</f>
        <v>80</v>
      </c>
      <c r="H11" s="17">
        <f aca="true" t="shared" si="0" ref="H11:R11">2*40</f>
        <v>80</v>
      </c>
      <c r="I11" s="17">
        <f t="shared" si="0"/>
        <v>80</v>
      </c>
      <c r="J11" s="17">
        <f t="shared" si="0"/>
        <v>80</v>
      </c>
      <c r="K11" s="17">
        <f t="shared" si="0"/>
        <v>80</v>
      </c>
      <c r="L11" s="17">
        <f t="shared" si="0"/>
        <v>80</v>
      </c>
      <c r="M11" s="17">
        <f t="shared" si="0"/>
        <v>80</v>
      </c>
      <c r="N11" s="17">
        <f t="shared" si="0"/>
        <v>80</v>
      </c>
      <c r="O11" s="17"/>
      <c r="P11" s="17">
        <f t="shared" si="0"/>
        <v>80</v>
      </c>
      <c r="Q11" s="17">
        <f t="shared" si="0"/>
        <v>80</v>
      </c>
      <c r="R11" s="17">
        <f t="shared" si="0"/>
        <v>80</v>
      </c>
    </row>
    <row r="12" spans="1:18" ht="12.75" outlineLevel="1">
      <c r="A12" s="12"/>
      <c r="B12" s="64"/>
      <c r="C12" s="70" t="s">
        <v>158</v>
      </c>
      <c r="D12" s="111" t="s">
        <v>179</v>
      </c>
      <c r="E12" s="8">
        <f>SUM(G12:R12)</f>
        <v>474.4</v>
      </c>
      <c r="F12" s="16"/>
      <c r="G12" s="17"/>
      <c r="H12" s="17"/>
      <c r="I12" s="17"/>
      <c r="J12" s="17"/>
      <c r="K12" s="17"/>
      <c r="L12" s="17"/>
      <c r="M12" s="17"/>
      <c r="N12" s="17"/>
      <c r="O12" s="17">
        <f>'LKC I &amp; II detail,Jul-Dec2014'!L103+'LKC I &amp; II detail,Jul-Dec2014'!L133</f>
        <v>474.4</v>
      </c>
      <c r="P12" s="17"/>
      <c r="Q12" s="17"/>
      <c r="R12" s="17"/>
    </row>
    <row r="13" spans="1:18" ht="12.75" outlineLevel="1">
      <c r="A13" s="12"/>
      <c r="B13" s="64"/>
      <c r="C13" s="70" t="s">
        <v>167</v>
      </c>
      <c r="D13" s="110" t="s">
        <v>248</v>
      </c>
      <c r="E13" s="8">
        <f>SUM(G13:R13)</f>
        <v>416</v>
      </c>
      <c r="F13" s="16"/>
      <c r="G13" s="17"/>
      <c r="H13" s="17"/>
      <c r="I13" s="17"/>
      <c r="J13" s="17"/>
      <c r="K13" s="17"/>
      <c r="L13" s="17"/>
      <c r="M13" s="17"/>
      <c r="N13" s="17"/>
      <c r="O13" s="17">
        <f>(2*25*4)+(2*27*4)</f>
        <v>416</v>
      </c>
      <c r="P13" s="17"/>
      <c r="Q13" s="17"/>
      <c r="R13" s="17"/>
    </row>
    <row r="14" spans="1:18" ht="12.75" outlineLevel="1">
      <c r="A14" s="12"/>
      <c r="B14" s="64"/>
      <c r="C14" s="70" t="s">
        <v>102</v>
      </c>
      <c r="D14" s="110" t="s">
        <v>249</v>
      </c>
      <c r="E14" s="8">
        <f>SUM(G14:R14)</f>
        <v>416</v>
      </c>
      <c r="F14" s="16"/>
      <c r="G14" s="17"/>
      <c r="H14" s="17"/>
      <c r="I14" s="17"/>
      <c r="J14" s="17"/>
      <c r="K14" s="17"/>
      <c r="L14" s="17"/>
      <c r="M14" s="17"/>
      <c r="N14" s="17"/>
      <c r="O14" s="17">
        <f>(2*25*4)+(2*27*4)</f>
        <v>416</v>
      </c>
      <c r="P14" s="17"/>
      <c r="Q14" s="17"/>
      <c r="R14" s="17"/>
    </row>
    <row r="15" spans="1:18" ht="19.5" customHeight="1" outlineLevel="1">
      <c r="A15" s="13"/>
      <c r="B15" s="65" t="s">
        <v>93</v>
      </c>
      <c r="C15" s="28"/>
      <c r="D15" s="28"/>
      <c r="E15" s="8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 outlineLevel="1">
      <c r="A16" s="12"/>
      <c r="B16" s="64"/>
      <c r="C16" s="70" t="s">
        <v>101</v>
      </c>
      <c r="D16" s="110" t="s">
        <v>250</v>
      </c>
      <c r="E16" s="8">
        <f>SUM(G16:R16)</f>
        <v>9135</v>
      </c>
      <c r="F16" s="16"/>
      <c r="G16" s="17">
        <f>(26*21*0.75)+(27*21*0.75)</f>
        <v>834.75</v>
      </c>
      <c r="H16" s="17">
        <f aca="true" t="shared" si="1" ref="H16:N16">(26*21*0.75)+(27*21*0.75)</f>
        <v>834.75</v>
      </c>
      <c r="I16" s="17">
        <f t="shared" si="1"/>
        <v>834.75</v>
      </c>
      <c r="J16" s="17">
        <f t="shared" si="1"/>
        <v>834.75</v>
      </c>
      <c r="K16" s="17">
        <f t="shared" si="1"/>
        <v>834.75</v>
      </c>
      <c r="L16" s="17">
        <f t="shared" si="1"/>
        <v>834.75</v>
      </c>
      <c r="M16" s="17">
        <f t="shared" si="1"/>
        <v>834.75</v>
      </c>
      <c r="N16" s="17">
        <f t="shared" si="1"/>
        <v>834.75</v>
      </c>
      <c r="O16" s="17"/>
      <c r="P16" s="17">
        <f>(25*21*0.75)+(27*21*0.75)</f>
        <v>819</v>
      </c>
      <c r="Q16" s="17">
        <f>(25*21*0.75)+(27*21*0.75)</f>
        <v>819</v>
      </c>
      <c r="R16" s="17">
        <f>(25*21*0.75)+(27*21*0.75)</f>
        <v>819</v>
      </c>
    </row>
    <row r="17" spans="1:18" ht="12.75" outlineLevel="1">
      <c r="A17" s="12"/>
      <c r="B17" s="64"/>
      <c r="C17" s="70" t="s">
        <v>78</v>
      </c>
      <c r="D17" s="110"/>
      <c r="E17" s="8">
        <f>SUM(G17:R17)</f>
        <v>700</v>
      </c>
      <c r="F17" s="16"/>
      <c r="G17" s="17">
        <f>350/11+350/11</f>
        <v>63.63636363636363</v>
      </c>
      <c r="H17" s="17">
        <f aca="true" t="shared" si="2" ref="H17:R17">350/11+350/11</f>
        <v>63.63636363636363</v>
      </c>
      <c r="I17" s="17">
        <f t="shared" si="2"/>
        <v>63.63636363636363</v>
      </c>
      <c r="J17" s="17">
        <f t="shared" si="2"/>
        <v>63.63636363636363</v>
      </c>
      <c r="K17" s="17">
        <f t="shared" si="2"/>
        <v>63.63636363636363</v>
      </c>
      <c r="L17" s="17">
        <f t="shared" si="2"/>
        <v>63.63636363636363</v>
      </c>
      <c r="M17" s="17">
        <f t="shared" si="2"/>
        <v>63.63636363636363</v>
      </c>
      <c r="N17" s="17">
        <f t="shared" si="2"/>
        <v>63.63636363636363</v>
      </c>
      <c r="O17" s="17"/>
      <c r="P17" s="17">
        <f t="shared" si="2"/>
        <v>63.63636363636363</v>
      </c>
      <c r="Q17" s="17">
        <f t="shared" si="2"/>
        <v>63.63636363636363</v>
      </c>
      <c r="R17" s="17">
        <f t="shared" si="2"/>
        <v>63.63636363636363</v>
      </c>
    </row>
    <row r="18" spans="1:18" ht="12.75" outlineLevel="1">
      <c r="A18" s="12"/>
      <c r="B18" s="64"/>
      <c r="C18" s="70" t="s">
        <v>111</v>
      </c>
      <c r="D18" s="111" t="s">
        <v>247</v>
      </c>
      <c r="E18" s="8">
        <f>SUM(G18:R18)</f>
        <v>317</v>
      </c>
      <c r="F18" s="16"/>
      <c r="G18" s="17">
        <f>26+27</f>
        <v>53</v>
      </c>
      <c r="H18" s="17"/>
      <c r="I18" s="17">
        <f>26+27</f>
        <v>53</v>
      </c>
      <c r="J18" s="17"/>
      <c r="K18" s="17">
        <f>26+27</f>
        <v>53</v>
      </c>
      <c r="L18" s="17"/>
      <c r="M18" s="17">
        <f>26+27</f>
        <v>53</v>
      </c>
      <c r="N18" s="17"/>
      <c r="O18" s="17">
        <f>26+27</f>
        <v>53</v>
      </c>
      <c r="P18" s="17"/>
      <c r="Q18" s="17">
        <f>25+27</f>
        <v>52</v>
      </c>
      <c r="R18" s="17"/>
    </row>
    <row r="19" spans="1:18" ht="12.75" outlineLevel="1">
      <c r="A19" s="12"/>
      <c r="B19" s="64"/>
      <c r="C19" s="70" t="s">
        <v>185</v>
      </c>
      <c r="D19" s="110" t="s">
        <v>251</v>
      </c>
      <c r="E19" s="8">
        <f>SUM(G19:R19)</f>
        <v>622.125</v>
      </c>
      <c r="F19" s="16"/>
      <c r="G19" s="17">
        <f>'LKC I &amp; II detail,Jul-Dec2014'!K36</f>
        <v>170.90625</v>
      </c>
      <c r="H19" s="17"/>
      <c r="I19" s="17"/>
      <c r="J19" s="17"/>
      <c r="K19" s="17"/>
      <c r="L19" s="17"/>
      <c r="M19" s="17"/>
      <c r="N19" s="17"/>
      <c r="O19" s="17">
        <f>'LKC I &amp; II detail,Jul-Dec2014'!K12+'LKC I &amp; II detail,Jul-Dec2014'!K24+'LKC I &amp; II detail,Jul-Dec2014'!K36+'LKC I &amp; II detail,Jul-Dec2014'!K47</f>
        <v>451.21875</v>
      </c>
      <c r="P19" s="17"/>
      <c r="Q19" s="17"/>
      <c r="R19" s="17"/>
    </row>
    <row r="20" spans="1:18" ht="12.75" outlineLevel="1">
      <c r="A20" s="12"/>
      <c r="B20" s="64"/>
      <c r="C20" s="69" t="s">
        <v>163</v>
      </c>
      <c r="D20" s="110" t="s">
        <v>252</v>
      </c>
      <c r="E20" s="8">
        <f>SUM(G20:R20)</f>
        <v>160</v>
      </c>
      <c r="F20" s="16"/>
      <c r="G20" s="17">
        <f>20*2</f>
        <v>40</v>
      </c>
      <c r="H20" s="17"/>
      <c r="I20" s="17"/>
      <c r="J20" s="17">
        <f>20*2</f>
        <v>40</v>
      </c>
      <c r="K20" s="17"/>
      <c r="L20" s="17"/>
      <c r="M20" s="17">
        <f>20*2</f>
        <v>40</v>
      </c>
      <c r="N20" s="17"/>
      <c r="O20" s="17"/>
      <c r="P20" s="17">
        <f>20*2</f>
        <v>40</v>
      </c>
      <c r="Q20" s="17"/>
      <c r="R20" s="17"/>
    </row>
    <row r="21" spans="1:18" ht="25.5" customHeight="1" outlineLevel="1">
      <c r="A21" s="13" t="s">
        <v>92</v>
      </c>
      <c r="B21" s="63"/>
      <c r="C21" s="4"/>
      <c r="D21" s="35"/>
      <c r="E21" s="8"/>
      <c r="F21" s="1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9.5" customHeight="1" outlineLevel="1">
      <c r="A22" s="13"/>
      <c r="B22" s="65" t="s">
        <v>90</v>
      </c>
      <c r="C22" s="28"/>
      <c r="D22" s="28"/>
      <c r="E22" s="8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2.75" outlineLevel="1">
      <c r="A23" s="12"/>
      <c r="B23" s="64"/>
      <c r="C23" s="70" t="s">
        <v>22</v>
      </c>
      <c r="D23" s="110" t="s">
        <v>245</v>
      </c>
      <c r="E23" s="8">
        <f aca="true" t="shared" si="3" ref="E23:E29">SUM(G23:R23)</f>
        <v>990</v>
      </c>
      <c r="F23" s="16"/>
      <c r="G23" s="17"/>
      <c r="H23" s="17"/>
      <c r="I23" s="17"/>
      <c r="J23" s="17"/>
      <c r="K23" s="17"/>
      <c r="L23" s="17"/>
      <c r="M23" s="17"/>
      <c r="N23" s="17"/>
      <c r="O23" s="17">
        <f>55*9*2</f>
        <v>990</v>
      </c>
      <c r="P23" s="17"/>
      <c r="Q23" s="17"/>
      <c r="R23" s="17"/>
    </row>
    <row r="24" spans="1:18" ht="12.75" outlineLevel="1">
      <c r="A24" s="12"/>
      <c r="B24" s="64"/>
      <c r="C24" s="70" t="s">
        <v>60</v>
      </c>
      <c r="D24" s="110" t="s">
        <v>244</v>
      </c>
      <c r="E24" s="8">
        <f t="shared" si="3"/>
        <v>385</v>
      </c>
      <c r="F24" s="16"/>
      <c r="G24" s="17"/>
      <c r="H24" s="17"/>
      <c r="I24" s="17"/>
      <c r="J24" s="17"/>
      <c r="K24" s="17"/>
      <c r="L24" s="17"/>
      <c r="M24" s="17"/>
      <c r="N24" s="17"/>
      <c r="O24" s="17">
        <f>55*7</f>
        <v>385</v>
      </c>
      <c r="P24" s="17"/>
      <c r="Q24" s="17"/>
      <c r="R24" s="17"/>
    </row>
    <row r="25" spans="1:18" ht="12.75" outlineLevel="1">
      <c r="A25" s="12"/>
      <c r="B25" s="64"/>
      <c r="C25" s="70" t="s">
        <v>102</v>
      </c>
      <c r="D25" s="110" t="s">
        <v>246</v>
      </c>
      <c r="E25" s="8">
        <f t="shared" si="3"/>
        <v>330</v>
      </c>
      <c r="F25" s="16"/>
      <c r="G25" s="17"/>
      <c r="H25" s="17"/>
      <c r="I25" s="17"/>
      <c r="J25" s="17"/>
      <c r="K25" s="17"/>
      <c r="L25" s="17"/>
      <c r="M25" s="17"/>
      <c r="N25" s="17"/>
      <c r="O25" s="17">
        <f>2*3*55</f>
        <v>330</v>
      </c>
      <c r="P25" s="17"/>
      <c r="Q25" s="17"/>
      <c r="R25" s="17"/>
    </row>
    <row r="26" spans="1:18" ht="12.75" outlineLevel="1">
      <c r="A26" s="12"/>
      <c r="B26" s="64"/>
      <c r="C26" s="70" t="s">
        <v>49</v>
      </c>
      <c r="D26" s="110" t="s">
        <v>253</v>
      </c>
      <c r="E26" s="8">
        <f t="shared" si="3"/>
        <v>1085</v>
      </c>
      <c r="F26" s="16"/>
      <c r="G26" s="17"/>
      <c r="H26" s="17"/>
      <c r="I26" s="17"/>
      <c r="J26" s="17"/>
      <c r="K26" s="17"/>
      <c r="L26" s="17"/>
      <c r="M26" s="17"/>
      <c r="N26" s="17"/>
      <c r="O26" s="17">
        <f>31*35</f>
        <v>1085</v>
      </c>
      <c r="P26" s="17"/>
      <c r="Q26" s="17"/>
      <c r="R26" s="17"/>
    </row>
    <row r="27" spans="1:18" ht="12.75" outlineLevel="1">
      <c r="A27" s="12"/>
      <c r="B27" s="64"/>
      <c r="C27" s="70" t="s">
        <v>79</v>
      </c>
      <c r="D27" s="110" t="s">
        <v>254</v>
      </c>
      <c r="E27" s="8">
        <f t="shared" si="3"/>
        <v>217</v>
      </c>
      <c r="F27" s="16"/>
      <c r="G27" s="17"/>
      <c r="H27" s="17"/>
      <c r="I27" s="17"/>
      <c r="J27" s="17"/>
      <c r="K27" s="17"/>
      <c r="L27" s="17"/>
      <c r="M27" s="17"/>
      <c r="N27" s="17"/>
      <c r="O27" s="17">
        <f>31*7</f>
        <v>217</v>
      </c>
      <c r="P27" s="17"/>
      <c r="Q27" s="17"/>
      <c r="R27" s="17"/>
    </row>
    <row r="28" spans="1:18" ht="12.75" outlineLevel="1">
      <c r="A28" s="12"/>
      <c r="B28" s="64"/>
      <c r="C28" s="70" t="s">
        <v>83</v>
      </c>
      <c r="D28" s="110" t="s">
        <v>255</v>
      </c>
      <c r="E28" s="8">
        <f t="shared" si="3"/>
        <v>93</v>
      </c>
      <c r="F28" s="16"/>
      <c r="G28" s="17"/>
      <c r="H28" s="17"/>
      <c r="I28" s="17"/>
      <c r="J28" s="17"/>
      <c r="K28" s="17"/>
      <c r="L28" s="17"/>
      <c r="M28" s="17"/>
      <c r="N28" s="17"/>
      <c r="O28" s="17">
        <f>31*3</f>
        <v>93</v>
      </c>
      <c r="P28" s="17"/>
      <c r="Q28" s="17"/>
      <c r="R28" s="17"/>
    </row>
    <row r="29" spans="1:18" ht="12.75" outlineLevel="1">
      <c r="A29" s="12"/>
      <c r="B29" s="64"/>
      <c r="C29" s="70" t="s">
        <v>72</v>
      </c>
      <c r="D29" s="110" t="s">
        <v>182</v>
      </c>
      <c r="E29" s="8">
        <f t="shared" si="3"/>
        <v>958</v>
      </c>
      <c r="F29" s="16"/>
      <c r="G29" s="17"/>
      <c r="H29" s="17"/>
      <c r="I29" s="17"/>
      <c r="J29" s="17"/>
      <c r="K29" s="17"/>
      <c r="L29" s="17"/>
      <c r="M29" s="17"/>
      <c r="N29" s="17"/>
      <c r="O29" s="17">
        <f>'LKC I &amp; II detail,Jul-Dec2014'!E79</f>
        <v>958</v>
      </c>
      <c r="P29" s="17"/>
      <c r="Q29" s="17"/>
      <c r="R29" s="17"/>
    </row>
    <row r="30" spans="1:18" ht="19.5" customHeight="1" outlineLevel="1">
      <c r="A30" s="13"/>
      <c r="B30" s="65" t="s">
        <v>93</v>
      </c>
      <c r="C30" s="28"/>
      <c r="D30" s="28"/>
      <c r="E30" s="8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2.75" outlineLevel="1">
      <c r="A31" s="12"/>
      <c r="B31" s="64"/>
      <c r="C31" s="70" t="s">
        <v>191</v>
      </c>
      <c r="D31" s="110" t="s">
        <v>256</v>
      </c>
      <c r="E31" s="8">
        <f>SUM(G31:R31)</f>
        <v>428.40000000000003</v>
      </c>
      <c r="F31" s="16"/>
      <c r="G31" s="17">
        <f>24*200/4000*24</f>
        <v>28.799999999999997</v>
      </c>
      <c r="H31" s="17">
        <f aca="true" t="shared" si="4" ref="H31:N31">24*200/4000*24</f>
        <v>28.799999999999997</v>
      </c>
      <c r="I31" s="17">
        <f t="shared" si="4"/>
        <v>28.799999999999997</v>
      </c>
      <c r="J31" s="17">
        <f t="shared" si="4"/>
        <v>28.799999999999997</v>
      </c>
      <c r="K31" s="17">
        <f t="shared" si="4"/>
        <v>28.799999999999997</v>
      </c>
      <c r="L31" s="17">
        <f t="shared" si="4"/>
        <v>28.799999999999997</v>
      </c>
      <c r="M31" s="17">
        <f t="shared" si="4"/>
        <v>28.799999999999997</v>
      </c>
      <c r="N31" s="17">
        <f t="shared" si="4"/>
        <v>28.799999999999997</v>
      </c>
      <c r="O31" s="17"/>
      <c r="P31" s="17">
        <f>24*200/4000*55</f>
        <v>66</v>
      </c>
      <c r="Q31" s="17">
        <f>24*200/4000*55</f>
        <v>66</v>
      </c>
      <c r="R31" s="17">
        <f>24*200/4000*55</f>
        <v>66</v>
      </c>
    </row>
    <row r="32" spans="1:18" ht="12.75" outlineLevel="1">
      <c r="A32" s="12"/>
      <c r="B32" s="64"/>
      <c r="C32" s="70" t="s">
        <v>73</v>
      </c>
      <c r="D32" s="110"/>
      <c r="E32" s="32">
        <f>SUM(G32:R32)</f>
        <v>442.9</v>
      </c>
      <c r="F32" s="16"/>
      <c r="G32" s="17"/>
      <c r="H32" s="17">
        <f>'LKC I &amp; II detail,Jul-Dec2014'!$K58</f>
        <v>51.599999999999994</v>
      </c>
      <c r="I32" s="17"/>
      <c r="J32" s="17">
        <f>'LKC I &amp; II detail,Jul-Dec2014'!$K58</f>
        <v>51.599999999999994</v>
      </c>
      <c r="K32" s="17"/>
      <c r="L32" s="17">
        <f>'LKC I &amp; II detail,Jul-Dec2014'!$K58</f>
        <v>51.599999999999994</v>
      </c>
      <c r="M32" s="17"/>
      <c r="N32" s="17">
        <f>'LKC I &amp; II detail,Jul-Dec2014'!$K58</f>
        <v>51.599999999999994</v>
      </c>
      <c r="O32" s="17"/>
      <c r="P32" s="17">
        <f>'LKC I &amp; II detail,Jul-Dec2014'!K69</f>
        <v>118.25</v>
      </c>
      <c r="Q32" s="17"/>
      <c r="R32" s="17">
        <f>'LKC I &amp; II detail,Jul-Dec2014'!K69</f>
        <v>118.25</v>
      </c>
    </row>
    <row r="33" spans="1:18" ht="12.75" outlineLevel="1">
      <c r="A33" s="12"/>
      <c r="B33" s="64"/>
      <c r="C33" s="70" t="s">
        <v>180</v>
      </c>
      <c r="D33" s="110" t="s">
        <v>189</v>
      </c>
      <c r="E33" s="112">
        <f>SUM(G33:R33)</f>
        <v>880</v>
      </c>
      <c r="F33" s="16"/>
      <c r="G33" s="17">
        <f>40*2</f>
        <v>80</v>
      </c>
      <c r="H33" s="17">
        <f aca="true" t="shared" si="5" ref="H33:R33">40*2</f>
        <v>80</v>
      </c>
      <c r="I33" s="17">
        <f t="shared" si="5"/>
        <v>80</v>
      </c>
      <c r="J33" s="17">
        <f t="shared" si="5"/>
        <v>80</v>
      </c>
      <c r="K33" s="17">
        <f t="shared" si="5"/>
        <v>80</v>
      </c>
      <c r="L33" s="17">
        <f t="shared" si="5"/>
        <v>80</v>
      </c>
      <c r="M33" s="17">
        <f t="shared" si="5"/>
        <v>80</v>
      </c>
      <c r="N33" s="17">
        <f t="shared" si="5"/>
        <v>80</v>
      </c>
      <c r="O33" s="17"/>
      <c r="P33" s="17">
        <f t="shared" si="5"/>
        <v>80</v>
      </c>
      <c r="Q33" s="17">
        <f t="shared" si="5"/>
        <v>80</v>
      </c>
      <c r="R33" s="17">
        <f t="shared" si="5"/>
        <v>80</v>
      </c>
    </row>
    <row r="34" spans="1:18" ht="25.5" customHeight="1" outlineLevel="1">
      <c r="A34" s="114" t="s">
        <v>76</v>
      </c>
      <c r="B34" s="115"/>
      <c r="C34" s="68"/>
      <c r="D34" s="116"/>
      <c r="E34" s="8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2.75" outlineLevel="1">
      <c r="A35" s="12"/>
      <c r="B35" s="64"/>
      <c r="C35" s="70" t="s">
        <v>190</v>
      </c>
      <c r="D35" s="111" t="s">
        <v>206</v>
      </c>
      <c r="E35" s="8">
        <f>SUM(G35:R35)</f>
        <v>240</v>
      </c>
      <c r="F35" s="16"/>
      <c r="G35" s="17">
        <v>20</v>
      </c>
      <c r="H35" s="17">
        <v>20</v>
      </c>
      <c r="I35" s="17">
        <v>20</v>
      </c>
      <c r="J35" s="17">
        <v>20</v>
      </c>
      <c r="K35" s="17">
        <v>20</v>
      </c>
      <c r="L35" s="17">
        <v>20</v>
      </c>
      <c r="M35" s="17">
        <v>20</v>
      </c>
      <c r="N35" s="17">
        <v>20</v>
      </c>
      <c r="O35" s="17">
        <v>20</v>
      </c>
      <c r="P35" s="17">
        <v>20</v>
      </c>
      <c r="Q35" s="17">
        <v>20</v>
      </c>
      <c r="R35" s="17">
        <v>20</v>
      </c>
    </row>
    <row r="36" spans="1:18" ht="12.75" outlineLevel="1">
      <c r="A36" s="12"/>
      <c r="B36" s="64"/>
      <c r="C36" s="70" t="s">
        <v>108</v>
      </c>
      <c r="D36" s="111" t="s">
        <v>257</v>
      </c>
      <c r="E36" s="8">
        <f>SUM(G36:R36)</f>
        <v>6804</v>
      </c>
      <c r="F36" s="16"/>
      <c r="G36" s="17">
        <f>84*(26+24)</f>
        <v>4200</v>
      </c>
      <c r="H36" s="17"/>
      <c r="I36" s="17"/>
      <c r="J36" s="17"/>
      <c r="K36" s="17"/>
      <c r="L36" s="17"/>
      <c r="M36" s="17"/>
      <c r="N36" s="17"/>
      <c r="O36" s="17"/>
      <c r="P36" s="17">
        <f>84*(15+16)</f>
        <v>2604</v>
      </c>
      <c r="Q36" s="17"/>
      <c r="R36" s="17"/>
    </row>
    <row r="37" spans="1:18" ht="12.75" outlineLevel="1">
      <c r="A37" s="12"/>
      <c r="B37" s="64"/>
      <c r="C37" s="70" t="s">
        <v>112</v>
      </c>
      <c r="D37" s="111" t="s">
        <v>258</v>
      </c>
      <c r="E37" s="8">
        <f>SUM(G37:R37)</f>
        <v>540</v>
      </c>
      <c r="F37" s="16"/>
      <c r="G37" s="17"/>
      <c r="H37" s="17"/>
      <c r="I37" s="17"/>
      <c r="J37" s="17"/>
      <c r="K37" s="17"/>
      <c r="L37" s="17">
        <f>5*(26+24)+27*5</f>
        <v>385</v>
      </c>
      <c r="M37" s="17"/>
      <c r="N37" s="17"/>
      <c r="O37" s="17"/>
      <c r="P37" s="17">
        <f>5*15</f>
        <v>75</v>
      </c>
      <c r="Q37" s="17">
        <f>16*5</f>
        <v>80</v>
      </c>
      <c r="R37" s="17"/>
    </row>
    <row r="38" spans="1:18" ht="12.75" outlineLevel="1">
      <c r="A38" s="12"/>
      <c r="B38" s="64"/>
      <c r="C38" s="70" t="s">
        <v>113</v>
      </c>
      <c r="D38" s="111" t="s">
        <v>259</v>
      </c>
      <c r="E38" s="8">
        <f>SUM(G38:R38)</f>
        <v>3240</v>
      </c>
      <c r="F38" s="16"/>
      <c r="G38" s="17">
        <f>30*(26+24)+27*30</f>
        <v>2310</v>
      </c>
      <c r="H38" s="17"/>
      <c r="I38" s="17"/>
      <c r="J38" s="17"/>
      <c r="K38" s="17"/>
      <c r="L38" s="17"/>
      <c r="M38" s="17"/>
      <c r="N38" s="17"/>
      <c r="O38" s="17"/>
      <c r="P38" s="17">
        <f>30*15</f>
        <v>450</v>
      </c>
      <c r="Q38" s="17"/>
      <c r="R38" s="17">
        <f>16*30</f>
        <v>480</v>
      </c>
    </row>
    <row r="39" spans="1:18" ht="12.75" outlineLevel="1">
      <c r="A39" s="67"/>
      <c r="B39" s="68"/>
      <c r="C39" s="70" t="s">
        <v>9</v>
      </c>
      <c r="D39" s="110" t="s">
        <v>204</v>
      </c>
      <c r="E39" s="8">
        <f>SUM(G39:R39)</f>
        <v>110</v>
      </c>
      <c r="F39" s="16"/>
      <c r="G39" s="17">
        <v>10</v>
      </c>
      <c r="H39" s="17">
        <v>10</v>
      </c>
      <c r="I39" s="17">
        <v>10</v>
      </c>
      <c r="J39" s="17">
        <v>10</v>
      </c>
      <c r="K39" s="17">
        <v>10</v>
      </c>
      <c r="L39" s="17">
        <v>10</v>
      </c>
      <c r="M39" s="17">
        <v>10</v>
      </c>
      <c r="N39" s="17">
        <v>10</v>
      </c>
      <c r="O39" s="17"/>
      <c r="P39" s="17">
        <v>10</v>
      </c>
      <c r="Q39" s="17">
        <v>10</v>
      </c>
      <c r="R39" s="17">
        <v>10</v>
      </c>
    </row>
    <row r="40" spans="1:18" ht="25.5" customHeight="1" outlineLevel="1">
      <c r="A40" s="114" t="s">
        <v>98</v>
      </c>
      <c r="B40" s="115"/>
      <c r="C40" s="68"/>
      <c r="D40" s="116"/>
      <c r="E40" s="8"/>
      <c r="F40" s="3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2.75" outlineLevel="1">
      <c r="A41" s="12"/>
      <c r="B41" s="1"/>
      <c r="C41" s="27" t="s">
        <v>99</v>
      </c>
      <c r="D41" s="80" t="s">
        <v>203</v>
      </c>
      <c r="E41" s="8">
        <f>SUM(G41:R41)</f>
        <v>220</v>
      </c>
      <c r="F41" s="16"/>
      <c r="G41" s="17">
        <f>2*10</f>
        <v>20</v>
      </c>
      <c r="H41" s="17">
        <f aca="true" t="shared" si="6" ref="H41:R41">2*10</f>
        <v>20</v>
      </c>
      <c r="I41" s="17">
        <f t="shared" si="6"/>
        <v>20</v>
      </c>
      <c r="J41" s="17">
        <f t="shared" si="6"/>
        <v>20</v>
      </c>
      <c r="K41" s="17">
        <f t="shared" si="6"/>
        <v>20</v>
      </c>
      <c r="L41" s="17">
        <f t="shared" si="6"/>
        <v>20</v>
      </c>
      <c r="M41" s="17">
        <f t="shared" si="6"/>
        <v>20</v>
      </c>
      <c r="N41" s="17">
        <f t="shared" si="6"/>
        <v>20</v>
      </c>
      <c r="O41" s="17"/>
      <c r="P41" s="17">
        <f t="shared" si="6"/>
        <v>20</v>
      </c>
      <c r="Q41" s="17">
        <f t="shared" si="6"/>
        <v>20</v>
      </c>
      <c r="R41" s="17">
        <f t="shared" si="6"/>
        <v>20</v>
      </c>
    </row>
    <row r="42" spans="1:18" ht="12.75" outlineLevel="1">
      <c r="A42" s="12"/>
      <c r="B42" s="1"/>
      <c r="C42" s="27" t="s">
        <v>160</v>
      </c>
      <c r="D42" s="80" t="s">
        <v>202</v>
      </c>
      <c r="E42" s="8">
        <f>SUM(G42:R42)</f>
        <v>200</v>
      </c>
      <c r="F42" s="16"/>
      <c r="G42" s="17"/>
      <c r="H42" s="17"/>
      <c r="I42" s="17"/>
      <c r="J42" s="17"/>
      <c r="K42" s="17"/>
      <c r="L42" s="17"/>
      <c r="M42" s="17"/>
      <c r="N42" s="17">
        <f>2*100</f>
        <v>200</v>
      </c>
      <c r="O42" s="17"/>
      <c r="P42" s="17"/>
      <c r="Q42" s="17"/>
      <c r="R42" s="17"/>
    </row>
    <row r="43" spans="1:18" ht="25.5" customHeight="1" outlineLevel="1">
      <c r="A43" s="114" t="s">
        <v>114</v>
      </c>
      <c r="B43" s="115"/>
      <c r="C43" s="68"/>
      <c r="D43" s="116"/>
      <c r="E43" s="8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2.75" outlineLevel="1">
      <c r="A44" s="67"/>
      <c r="B44" s="68"/>
      <c r="C44" s="70" t="s">
        <v>103</v>
      </c>
      <c r="D44" s="110" t="s">
        <v>260</v>
      </c>
      <c r="E44" s="8">
        <f>SUM(G44:R44)</f>
        <v>8680</v>
      </c>
      <c r="F44" s="16"/>
      <c r="G44" s="17">
        <f>(2500/4000*46*16)+(2500/4000*25*16)</f>
        <v>710</v>
      </c>
      <c r="H44" s="17">
        <f>(2500/4000*46*16)+(2500/4000*25*16)</f>
        <v>710</v>
      </c>
      <c r="I44" s="17">
        <f aca="true" t="shared" si="7" ref="I44:N44">(2500/4000*46*16)+(2500/4000*25*16)</f>
        <v>710</v>
      </c>
      <c r="J44" s="17">
        <f t="shared" si="7"/>
        <v>710</v>
      </c>
      <c r="K44" s="17">
        <f t="shared" si="7"/>
        <v>710</v>
      </c>
      <c r="L44" s="17">
        <f t="shared" si="7"/>
        <v>710</v>
      </c>
      <c r="M44" s="17">
        <f t="shared" si="7"/>
        <v>710</v>
      </c>
      <c r="N44" s="17">
        <f t="shared" si="7"/>
        <v>710</v>
      </c>
      <c r="O44" s="17"/>
      <c r="P44" s="17">
        <f>(2500/4000*75*16)+(2500/4000*25*16)</f>
        <v>1000</v>
      </c>
      <c r="Q44" s="17">
        <f>(2500/4000*75*16)+(2500/4000*25*16)</f>
        <v>1000</v>
      </c>
      <c r="R44" s="17">
        <f>(2500/4000*75*16)+(2500/4000*25*16)</f>
        <v>1000</v>
      </c>
    </row>
    <row r="45" spans="1:18" ht="12.75" outlineLevel="1">
      <c r="A45" s="67"/>
      <c r="B45" s="68"/>
      <c r="C45" s="70" t="s">
        <v>104</v>
      </c>
      <c r="D45" s="110" t="s">
        <v>261</v>
      </c>
      <c r="E45" s="8">
        <f>SUM(G45:R45)</f>
        <v>2170</v>
      </c>
      <c r="F45" s="16"/>
      <c r="G45" s="17">
        <f>(2.5*46)+(2.5*25)</f>
        <v>177.5</v>
      </c>
      <c r="H45" s="17">
        <f aca="true" t="shared" si="8" ref="H45:N45">(2.5*46)+(2.5*25)</f>
        <v>177.5</v>
      </c>
      <c r="I45" s="17">
        <f t="shared" si="8"/>
        <v>177.5</v>
      </c>
      <c r="J45" s="17">
        <f t="shared" si="8"/>
        <v>177.5</v>
      </c>
      <c r="K45" s="17">
        <f t="shared" si="8"/>
        <v>177.5</v>
      </c>
      <c r="L45" s="17">
        <f t="shared" si="8"/>
        <v>177.5</v>
      </c>
      <c r="M45" s="17">
        <f t="shared" si="8"/>
        <v>177.5</v>
      </c>
      <c r="N45" s="17">
        <f t="shared" si="8"/>
        <v>177.5</v>
      </c>
      <c r="O45" s="17"/>
      <c r="P45" s="17">
        <f>(2.5*75)+(2.5*25)</f>
        <v>250</v>
      </c>
      <c r="Q45" s="17">
        <f>(2.5*75)+(2.5*25)</f>
        <v>250</v>
      </c>
      <c r="R45" s="17">
        <f>(2.5*75)+(2.5*25)</f>
        <v>250</v>
      </c>
    </row>
    <row r="46" spans="1:18" ht="12.75" outlineLevel="1">
      <c r="A46" s="67"/>
      <c r="B46" s="68"/>
      <c r="C46" s="70" t="s">
        <v>105</v>
      </c>
      <c r="D46" s="111" t="s">
        <v>207</v>
      </c>
      <c r="E46" s="8">
        <f>SUM(G46:R46)</f>
        <v>220</v>
      </c>
      <c r="F46" s="16"/>
      <c r="G46" s="17">
        <f>2*10</f>
        <v>20</v>
      </c>
      <c r="H46" s="17">
        <f aca="true" t="shared" si="9" ref="H46:R47">2*10</f>
        <v>20</v>
      </c>
      <c r="I46" s="17">
        <f t="shared" si="9"/>
        <v>20</v>
      </c>
      <c r="J46" s="17">
        <f t="shared" si="9"/>
        <v>20</v>
      </c>
      <c r="K46" s="17">
        <f t="shared" si="9"/>
        <v>20</v>
      </c>
      <c r="L46" s="17">
        <f t="shared" si="9"/>
        <v>20</v>
      </c>
      <c r="M46" s="17">
        <f t="shared" si="9"/>
        <v>20</v>
      </c>
      <c r="N46" s="17">
        <f t="shared" si="9"/>
        <v>20</v>
      </c>
      <c r="O46" s="17"/>
      <c r="P46" s="17">
        <f t="shared" si="9"/>
        <v>20</v>
      </c>
      <c r="Q46" s="17">
        <f t="shared" si="9"/>
        <v>20</v>
      </c>
      <c r="R46" s="17">
        <f t="shared" si="9"/>
        <v>20</v>
      </c>
    </row>
    <row r="47" spans="1:18" ht="12.75" outlineLevel="1">
      <c r="A47" s="67"/>
      <c r="B47" s="68"/>
      <c r="C47" s="70" t="s">
        <v>10</v>
      </c>
      <c r="D47" s="111" t="s">
        <v>208</v>
      </c>
      <c r="E47" s="8">
        <f>SUM(G47:R47)</f>
        <v>220</v>
      </c>
      <c r="F47" s="16"/>
      <c r="G47" s="17">
        <f>2*10</f>
        <v>20</v>
      </c>
      <c r="H47" s="17">
        <f t="shared" si="9"/>
        <v>20</v>
      </c>
      <c r="I47" s="17">
        <f t="shared" si="9"/>
        <v>20</v>
      </c>
      <c r="J47" s="17">
        <f t="shared" si="9"/>
        <v>20</v>
      </c>
      <c r="K47" s="17">
        <f t="shared" si="9"/>
        <v>20</v>
      </c>
      <c r="L47" s="17">
        <f t="shared" si="9"/>
        <v>20</v>
      </c>
      <c r="M47" s="17">
        <f t="shared" si="9"/>
        <v>20</v>
      </c>
      <c r="N47" s="17">
        <f t="shared" si="9"/>
        <v>20</v>
      </c>
      <c r="O47" s="17"/>
      <c r="P47" s="17">
        <f t="shared" si="9"/>
        <v>20</v>
      </c>
      <c r="Q47" s="17">
        <f t="shared" si="9"/>
        <v>20</v>
      </c>
      <c r="R47" s="17">
        <f t="shared" si="9"/>
        <v>20</v>
      </c>
    </row>
    <row r="48" spans="1:18" ht="12.75" outlineLevel="1">
      <c r="A48" s="67"/>
      <c r="B48" s="68"/>
      <c r="C48" s="70" t="s">
        <v>155</v>
      </c>
      <c r="D48" s="111" t="s">
        <v>209</v>
      </c>
      <c r="E48" s="8">
        <f>SUM(G48:R48)</f>
        <v>600</v>
      </c>
      <c r="F48" s="16"/>
      <c r="G48" s="17"/>
      <c r="H48" s="17"/>
      <c r="I48" s="17"/>
      <c r="J48" s="17">
        <f>2*150</f>
        <v>300</v>
      </c>
      <c r="K48" s="17"/>
      <c r="L48" s="17"/>
      <c r="M48" s="17"/>
      <c r="N48" s="17"/>
      <c r="O48" s="17"/>
      <c r="P48" s="17"/>
      <c r="Q48" s="17"/>
      <c r="R48" s="17">
        <f>2*150</f>
        <v>300</v>
      </c>
    </row>
    <row r="49" spans="1:18" ht="25.5" customHeight="1" outlineLevel="1">
      <c r="A49" s="114" t="s">
        <v>156</v>
      </c>
      <c r="B49" s="115"/>
      <c r="C49" s="68"/>
      <c r="D49" s="116"/>
      <c r="E49" s="8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s="46" customFormat="1" ht="12.75" outlineLevel="1">
      <c r="A50" s="117"/>
      <c r="B50" s="118"/>
      <c r="C50" s="69" t="s">
        <v>153</v>
      </c>
      <c r="D50" s="110" t="s">
        <v>210</v>
      </c>
      <c r="E50" s="32">
        <f>SUM(G50:R50)</f>
        <v>4000</v>
      </c>
      <c r="F50" s="16"/>
      <c r="G50" s="33">
        <f>(10*200)*2</f>
        <v>4000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s="46" customFormat="1" ht="12.75" outlineLevel="1">
      <c r="A51" s="117"/>
      <c r="B51" s="118"/>
      <c r="C51" s="69" t="s">
        <v>154</v>
      </c>
      <c r="D51" s="110" t="s">
        <v>211</v>
      </c>
      <c r="E51" s="32">
        <f>SUM(G51:R51)</f>
        <v>4000</v>
      </c>
      <c r="F51" s="16"/>
      <c r="G51" s="33">
        <f>(10*200)*2</f>
        <v>4000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5.5" customHeight="1" outlineLevel="1">
      <c r="A52" s="114" t="s">
        <v>13</v>
      </c>
      <c r="B52" s="115"/>
      <c r="C52" s="68"/>
      <c r="D52" s="116"/>
      <c r="E52" s="8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2.75" outlineLevel="1">
      <c r="A53" s="67"/>
      <c r="B53" s="68"/>
      <c r="C53" s="70" t="s">
        <v>23</v>
      </c>
      <c r="D53" s="111" t="s">
        <v>212</v>
      </c>
      <c r="E53" s="8">
        <f>SUM(G53:R53)</f>
        <v>440</v>
      </c>
      <c r="F53" s="16"/>
      <c r="G53" s="17">
        <f>2*20</f>
        <v>40</v>
      </c>
      <c r="H53" s="17">
        <f aca="true" t="shared" si="10" ref="H53:R53">2*20</f>
        <v>40</v>
      </c>
      <c r="I53" s="17">
        <f t="shared" si="10"/>
        <v>40</v>
      </c>
      <c r="J53" s="17">
        <f t="shared" si="10"/>
        <v>40</v>
      </c>
      <c r="K53" s="17">
        <f t="shared" si="10"/>
        <v>40</v>
      </c>
      <c r="L53" s="17">
        <f t="shared" si="10"/>
        <v>40</v>
      </c>
      <c r="M53" s="17">
        <f t="shared" si="10"/>
        <v>40</v>
      </c>
      <c r="N53" s="17">
        <f t="shared" si="10"/>
        <v>40</v>
      </c>
      <c r="O53" s="17"/>
      <c r="P53" s="17">
        <f t="shared" si="10"/>
        <v>40</v>
      </c>
      <c r="Q53" s="17">
        <f t="shared" si="10"/>
        <v>40</v>
      </c>
      <c r="R53" s="17">
        <f t="shared" si="10"/>
        <v>40</v>
      </c>
    </row>
    <row r="54" spans="1:18" ht="12.75" outlineLevel="1">
      <c r="A54" s="67"/>
      <c r="B54" s="68"/>
      <c r="C54" s="70" t="s">
        <v>11</v>
      </c>
      <c r="D54" s="111" t="s">
        <v>208</v>
      </c>
      <c r="E54" s="8">
        <f>SUM(G54:R54)</f>
        <v>220</v>
      </c>
      <c r="F54" s="16"/>
      <c r="G54" s="17">
        <f>2*10</f>
        <v>20</v>
      </c>
      <c r="H54" s="17">
        <f aca="true" t="shared" si="11" ref="H54:R54">2*10</f>
        <v>20</v>
      </c>
      <c r="I54" s="17">
        <f t="shared" si="11"/>
        <v>20</v>
      </c>
      <c r="J54" s="17">
        <f t="shared" si="11"/>
        <v>20</v>
      </c>
      <c r="K54" s="17">
        <f t="shared" si="11"/>
        <v>20</v>
      </c>
      <c r="L54" s="17">
        <f t="shared" si="11"/>
        <v>20</v>
      </c>
      <c r="M54" s="17">
        <f t="shared" si="11"/>
        <v>20</v>
      </c>
      <c r="N54" s="17">
        <f t="shared" si="11"/>
        <v>20</v>
      </c>
      <c r="O54" s="17"/>
      <c r="P54" s="17">
        <f t="shared" si="11"/>
        <v>20</v>
      </c>
      <c r="Q54" s="17">
        <f t="shared" si="11"/>
        <v>20</v>
      </c>
      <c r="R54" s="17">
        <f t="shared" si="11"/>
        <v>20</v>
      </c>
    </row>
    <row r="55" spans="1:18" ht="12.75" outlineLevel="1">
      <c r="A55" s="67"/>
      <c r="B55" s="68"/>
      <c r="C55" s="70" t="s">
        <v>213</v>
      </c>
      <c r="D55" s="111" t="s">
        <v>262</v>
      </c>
      <c r="E55" s="8">
        <f>SUM(G55:R55)</f>
        <v>440</v>
      </c>
      <c r="F55" s="16"/>
      <c r="G55" s="17">
        <f>5+35</f>
        <v>40</v>
      </c>
      <c r="H55" s="17">
        <f>5+35</f>
        <v>40</v>
      </c>
      <c r="I55" s="17">
        <f>5+35</f>
        <v>40</v>
      </c>
      <c r="J55" s="17">
        <f>5+35</f>
        <v>40</v>
      </c>
      <c r="K55" s="17">
        <f>5+35</f>
        <v>40</v>
      </c>
      <c r="L55" s="17">
        <f aca="true" t="shared" si="12" ref="L55:R55">5+35</f>
        <v>40</v>
      </c>
      <c r="M55" s="17">
        <f t="shared" si="12"/>
        <v>40</v>
      </c>
      <c r="N55" s="17">
        <f t="shared" si="12"/>
        <v>40</v>
      </c>
      <c r="O55" s="17"/>
      <c r="P55" s="17">
        <f t="shared" si="12"/>
        <v>40</v>
      </c>
      <c r="Q55" s="17">
        <f t="shared" si="12"/>
        <v>40</v>
      </c>
      <c r="R55" s="17">
        <f t="shared" si="12"/>
        <v>40</v>
      </c>
    </row>
    <row r="56" spans="1:18" ht="12.75" outlineLevel="1">
      <c r="A56" s="67"/>
      <c r="B56" s="68"/>
      <c r="C56" s="70" t="s">
        <v>164</v>
      </c>
      <c r="D56" s="111" t="s">
        <v>214</v>
      </c>
      <c r="E56" s="8">
        <f>SUM(G56:R56)</f>
        <v>660</v>
      </c>
      <c r="F56" s="16"/>
      <c r="G56" s="17">
        <f>2*30</f>
        <v>60</v>
      </c>
      <c r="H56" s="17">
        <f aca="true" t="shared" si="13" ref="H56:R56">2*30</f>
        <v>60</v>
      </c>
      <c r="I56" s="17">
        <f t="shared" si="13"/>
        <v>60</v>
      </c>
      <c r="J56" s="17">
        <f t="shared" si="13"/>
        <v>60</v>
      </c>
      <c r="K56" s="17">
        <f t="shared" si="13"/>
        <v>60</v>
      </c>
      <c r="L56" s="17">
        <f t="shared" si="13"/>
        <v>60</v>
      </c>
      <c r="M56" s="17">
        <f t="shared" si="13"/>
        <v>60</v>
      </c>
      <c r="N56" s="17">
        <f t="shared" si="13"/>
        <v>60</v>
      </c>
      <c r="O56" s="17"/>
      <c r="P56" s="17">
        <f t="shared" si="13"/>
        <v>60</v>
      </c>
      <c r="Q56" s="17">
        <f t="shared" si="13"/>
        <v>60</v>
      </c>
      <c r="R56" s="17">
        <f t="shared" si="13"/>
        <v>60</v>
      </c>
    </row>
    <row r="57" spans="1:22" ht="25.5" customHeight="1" outlineLevel="1">
      <c r="A57" s="13" t="s">
        <v>165</v>
      </c>
      <c r="B57" s="63"/>
      <c r="C57" s="28"/>
      <c r="D57" s="28"/>
      <c r="E57" s="8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T57" s="17"/>
      <c r="U57" s="17"/>
      <c r="V57" s="17"/>
    </row>
    <row r="58" spans="1:22" ht="12.75" outlineLevel="1">
      <c r="A58" s="37"/>
      <c r="B58" s="1"/>
      <c r="C58" s="38" t="s">
        <v>166</v>
      </c>
      <c r="D58" s="110" t="s">
        <v>263</v>
      </c>
      <c r="E58" s="8">
        <f>SUM(G58:V58)</f>
        <v>2000</v>
      </c>
      <c r="F58" s="16"/>
      <c r="G58" s="17">
        <v>2000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T58" s="17"/>
      <c r="U58" s="17"/>
      <c r="V58" s="17"/>
    </row>
    <row r="59" spans="1:18" ht="25.5" customHeight="1" outlineLevel="1">
      <c r="A59" s="114" t="s">
        <v>5</v>
      </c>
      <c r="B59" s="115"/>
      <c r="C59" s="68"/>
      <c r="D59" s="116"/>
      <c r="E59" s="8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9.5" customHeight="1" outlineLevel="1">
      <c r="A60" s="13"/>
      <c r="B60" s="65" t="s">
        <v>195</v>
      </c>
      <c r="C60" s="28"/>
      <c r="D60" s="28"/>
      <c r="E60" s="8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2.75" outlineLevel="1">
      <c r="A61" s="67"/>
      <c r="B61" s="68"/>
      <c r="C61" s="69" t="s">
        <v>6</v>
      </c>
      <c r="D61" s="111"/>
      <c r="E61" s="8">
        <f aca="true" t="shared" si="14" ref="E61:E69">SUM(G61:R61)</f>
        <v>4950</v>
      </c>
      <c r="F61" s="16"/>
      <c r="G61" s="17">
        <f>(375*10%)+375</f>
        <v>412.5</v>
      </c>
      <c r="H61" s="17">
        <f aca="true" t="shared" si="15" ref="H61:R61">(375*10%)+375</f>
        <v>412.5</v>
      </c>
      <c r="I61" s="17">
        <f t="shared" si="15"/>
        <v>412.5</v>
      </c>
      <c r="J61" s="17">
        <f t="shared" si="15"/>
        <v>412.5</v>
      </c>
      <c r="K61" s="17">
        <f t="shared" si="15"/>
        <v>412.5</v>
      </c>
      <c r="L61" s="17">
        <f t="shared" si="15"/>
        <v>412.5</v>
      </c>
      <c r="M61" s="17">
        <f t="shared" si="15"/>
        <v>412.5</v>
      </c>
      <c r="N61" s="17">
        <f t="shared" si="15"/>
        <v>412.5</v>
      </c>
      <c r="O61" s="17">
        <f t="shared" si="15"/>
        <v>412.5</v>
      </c>
      <c r="P61" s="17">
        <f t="shared" si="15"/>
        <v>412.5</v>
      </c>
      <c r="Q61" s="17">
        <f t="shared" si="15"/>
        <v>412.5</v>
      </c>
      <c r="R61" s="17">
        <f t="shared" si="15"/>
        <v>412.5</v>
      </c>
    </row>
    <row r="62" spans="1:18" ht="12.75" outlineLevel="1">
      <c r="A62" s="67"/>
      <c r="B62" s="68"/>
      <c r="C62" s="70" t="s">
        <v>14</v>
      </c>
      <c r="D62" s="111"/>
      <c r="E62" s="8">
        <f t="shared" si="14"/>
        <v>7920</v>
      </c>
      <c r="F62" s="16"/>
      <c r="G62" s="17">
        <f>(600*10%)+600</f>
        <v>660</v>
      </c>
      <c r="H62" s="17">
        <f aca="true" t="shared" si="16" ref="H62:R62">(600*10%)+600</f>
        <v>660</v>
      </c>
      <c r="I62" s="17">
        <f t="shared" si="16"/>
        <v>660</v>
      </c>
      <c r="J62" s="17">
        <f t="shared" si="16"/>
        <v>660</v>
      </c>
      <c r="K62" s="17">
        <f t="shared" si="16"/>
        <v>660</v>
      </c>
      <c r="L62" s="17">
        <f t="shared" si="16"/>
        <v>660</v>
      </c>
      <c r="M62" s="17">
        <f t="shared" si="16"/>
        <v>660</v>
      </c>
      <c r="N62" s="17">
        <f t="shared" si="16"/>
        <v>660</v>
      </c>
      <c r="O62" s="17">
        <f t="shared" si="16"/>
        <v>660</v>
      </c>
      <c r="P62" s="17">
        <f t="shared" si="16"/>
        <v>660</v>
      </c>
      <c r="Q62" s="17">
        <f t="shared" si="16"/>
        <v>660</v>
      </c>
      <c r="R62" s="17">
        <f t="shared" si="16"/>
        <v>660</v>
      </c>
    </row>
    <row r="63" spans="1:18" ht="12.75" outlineLevel="1">
      <c r="A63" s="67"/>
      <c r="B63" s="68"/>
      <c r="C63" s="70" t="s">
        <v>7</v>
      </c>
      <c r="D63" s="110"/>
      <c r="E63" s="8">
        <f t="shared" si="14"/>
        <v>2310</v>
      </c>
      <c r="F63" s="16"/>
      <c r="G63" s="17">
        <f>(175*10%)+175</f>
        <v>192.5</v>
      </c>
      <c r="H63" s="17">
        <f aca="true" t="shared" si="17" ref="H63:R63">(175*10%)+175</f>
        <v>192.5</v>
      </c>
      <c r="I63" s="17">
        <f t="shared" si="17"/>
        <v>192.5</v>
      </c>
      <c r="J63" s="17">
        <f t="shared" si="17"/>
        <v>192.5</v>
      </c>
      <c r="K63" s="17">
        <f t="shared" si="17"/>
        <v>192.5</v>
      </c>
      <c r="L63" s="17">
        <f t="shared" si="17"/>
        <v>192.5</v>
      </c>
      <c r="M63" s="17">
        <f t="shared" si="17"/>
        <v>192.5</v>
      </c>
      <c r="N63" s="17">
        <f t="shared" si="17"/>
        <v>192.5</v>
      </c>
      <c r="O63" s="17">
        <f t="shared" si="17"/>
        <v>192.5</v>
      </c>
      <c r="P63" s="17">
        <f t="shared" si="17"/>
        <v>192.5</v>
      </c>
      <c r="Q63" s="17">
        <f t="shared" si="17"/>
        <v>192.5</v>
      </c>
      <c r="R63" s="17">
        <f t="shared" si="17"/>
        <v>192.5</v>
      </c>
    </row>
    <row r="64" spans="1:18" ht="12.75" outlineLevel="1">
      <c r="A64" s="67"/>
      <c r="B64" s="68"/>
      <c r="C64" s="70" t="s">
        <v>115</v>
      </c>
      <c r="D64" s="110"/>
      <c r="E64" s="8">
        <f t="shared" si="14"/>
        <v>1848</v>
      </c>
      <c r="F64" s="16"/>
      <c r="G64" s="17">
        <f>(140*10%)+140</f>
        <v>154</v>
      </c>
      <c r="H64" s="17">
        <f aca="true" t="shared" si="18" ref="H64:R64">(140*10%)+140</f>
        <v>154</v>
      </c>
      <c r="I64" s="17">
        <f t="shared" si="18"/>
        <v>154</v>
      </c>
      <c r="J64" s="17">
        <f t="shared" si="18"/>
        <v>154</v>
      </c>
      <c r="K64" s="17">
        <f t="shared" si="18"/>
        <v>154</v>
      </c>
      <c r="L64" s="17">
        <f t="shared" si="18"/>
        <v>154</v>
      </c>
      <c r="M64" s="17">
        <f t="shared" si="18"/>
        <v>154</v>
      </c>
      <c r="N64" s="17">
        <f t="shared" si="18"/>
        <v>154</v>
      </c>
      <c r="O64" s="17">
        <f t="shared" si="18"/>
        <v>154</v>
      </c>
      <c r="P64" s="17">
        <f t="shared" si="18"/>
        <v>154</v>
      </c>
      <c r="Q64" s="17">
        <f t="shared" si="18"/>
        <v>154</v>
      </c>
      <c r="R64" s="17">
        <f t="shared" si="18"/>
        <v>154</v>
      </c>
    </row>
    <row r="65" spans="1:18" ht="12.75" outlineLevel="1">
      <c r="A65" s="67"/>
      <c r="B65" s="68"/>
      <c r="C65" s="70" t="s">
        <v>116</v>
      </c>
      <c r="D65" s="110"/>
      <c r="E65" s="8">
        <f t="shared" si="14"/>
        <v>1584</v>
      </c>
      <c r="F65" s="16"/>
      <c r="G65" s="17">
        <f>(120*10%)+120</f>
        <v>132</v>
      </c>
      <c r="H65" s="17">
        <f aca="true" t="shared" si="19" ref="H65:R65">(120*10%)+120</f>
        <v>132</v>
      </c>
      <c r="I65" s="17">
        <f t="shared" si="19"/>
        <v>132</v>
      </c>
      <c r="J65" s="17">
        <f t="shared" si="19"/>
        <v>132</v>
      </c>
      <c r="K65" s="17">
        <f t="shared" si="19"/>
        <v>132</v>
      </c>
      <c r="L65" s="17">
        <f t="shared" si="19"/>
        <v>132</v>
      </c>
      <c r="M65" s="17">
        <f t="shared" si="19"/>
        <v>132</v>
      </c>
      <c r="N65" s="17">
        <f t="shared" si="19"/>
        <v>132</v>
      </c>
      <c r="O65" s="17">
        <f t="shared" si="19"/>
        <v>132</v>
      </c>
      <c r="P65" s="17">
        <f t="shared" si="19"/>
        <v>132</v>
      </c>
      <c r="Q65" s="17">
        <f t="shared" si="19"/>
        <v>132</v>
      </c>
      <c r="R65" s="17">
        <f t="shared" si="19"/>
        <v>132</v>
      </c>
    </row>
    <row r="66" spans="1:18" ht="12.75" outlineLevel="1">
      <c r="A66" s="67"/>
      <c r="B66" s="68"/>
      <c r="C66" s="70" t="s">
        <v>12</v>
      </c>
      <c r="D66" s="111"/>
      <c r="E66" s="8">
        <f t="shared" si="14"/>
        <v>1320</v>
      </c>
      <c r="F66" s="16"/>
      <c r="G66" s="17">
        <f>(100*10%)+100</f>
        <v>110</v>
      </c>
      <c r="H66" s="17">
        <f aca="true" t="shared" si="20" ref="H66:R66">(100*10%)+100</f>
        <v>110</v>
      </c>
      <c r="I66" s="17">
        <f t="shared" si="20"/>
        <v>110</v>
      </c>
      <c r="J66" s="17">
        <f t="shared" si="20"/>
        <v>110</v>
      </c>
      <c r="K66" s="17">
        <f t="shared" si="20"/>
        <v>110</v>
      </c>
      <c r="L66" s="17">
        <f t="shared" si="20"/>
        <v>110</v>
      </c>
      <c r="M66" s="17">
        <f t="shared" si="20"/>
        <v>110</v>
      </c>
      <c r="N66" s="17">
        <f t="shared" si="20"/>
        <v>110</v>
      </c>
      <c r="O66" s="17">
        <f t="shared" si="20"/>
        <v>110</v>
      </c>
      <c r="P66" s="17">
        <f t="shared" si="20"/>
        <v>110</v>
      </c>
      <c r="Q66" s="17">
        <f t="shared" si="20"/>
        <v>110</v>
      </c>
      <c r="R66" s="17">
        <f t="shared" si="20"/>
        <v>110</v>
      </c>
    </row>
    <row r="67" spans="1:18" ht="12.75" outlineLevel="1">
      <c r="A67" s="67"/>
      <c r="B67" s="68"/>
      <c r="C67" s="70" t="s">
        <v>186</v>
      </c>
      <c r="D67" s="111"/>
      <c r="E67" s="8">
        <f t="shared" si="14"/>
        <v>2400</v>
      </c>
      <c r="F67" s="16"/>
      <c r="G67" s="17">
        <v>200</v>
      </c>
      <c r="H67" s="17">
        <v>200</v>
      </c>
      <c r="I67" s="17">
        <v>200</v>
      </c>
      <c r="J67" s="17">
        <v>200</v>
      </c>
      <c r="K67" s="17">
        <v>200</v>
      </c>
      <c r="L67" s="17">
        <v>200</v>
      </c>
      <c r="M67" s="17">
        <v>200</v>
      </c>
      <c r="N67" s="17">
        <v>200</v>
      </c>
      <c r="O67" s="17">
        <v>200</v>
      </c>
      <c r="P67" s="17">
        <v>200</v>
      </c>
      <c r="Q67" s="17">
        <v>200</v>
      </c>
      <c r="R67" s="17">
        <v>200</v>
      </c>
    </row>
    <row r="68" spans="1:18" ht="12.75" outlineLevel="1">
      <c r="A68" s="67"/>
      <c r="B68" s="68"/>
      <c r="C68" s="70" t="s">
        <v>117</v>
      </c>
      <c r="D68" s="111"/>
      <c r="E68" s="8">
        <f t="shared" si="14"/>
        <v>792</v>
      </c>
      <c r="F68" s="16"/>
      <c r="G68" s="17">
        <f>(60*10%)+60</f>
        <v>66</v>
      </c>
      <c r="H68" s="17">
        <f aca="true" t="shared" si="21" ref="H68:R68">(60*10%)+60</f>
        <v>66</v>
      </c>
      <c r="I68" s="17">
        <f t="shared" si="21"/>
        <v>66</v>
      </c>
      <c r="J68" s="17">
        <f t="shared" si="21"/>
        <v>66</v>
      </c>
      <c r="K68" s="17">
        <f t="shared" si="21"/>
        <v>66</v>
      </c>
      <c r="L68" s="17">
        <f t="shared" si="21"/>
        <v>66</v>
      </c>
      <c r="M68" s="17">
        <f t="shared" si="21"/>
        <v>66</v>
      </c>
      <c r="N68" s="17">
        <f t="shared" si="21"/>
        <v>66</v>
      </c>
      <c r="O68" s="17">
        <f t="shared" si="21"/>
        <v>66</v>
      </c>
      <c r="P68" s="17">
        <f t="shared" si="21"/>
        <v>66</v>
      </c>
      <c r="Q68" s="17">
        <f t="shared" si="21"/>
        <v>66</v>
      </c>
      <c r="R68" s="17">
        <f t="shared" si="21"/>
        <v>66</v>
      </c>
    </row>
    <row r="69" spans="1:18" ht="12.75" outlineLevel="1">
      <c r="A69" s="67"/>
      <c r="B69" s="68"/>
      <c r="C69" s="70" t="s">
        <v>187</v>
      </c>
      <c r="D69" s="111"/>
      <c r="E69" s="8">
        <f t="shared" si="14"/>
        <v>1320</v>
      </c>
      <c r="F69" s="16"/>
      <c r="G69" s="17">
        <f>100+10</f>
        <v>110</v>
      </c>
      <c r="H69" s="17">
        <f aca="true" t="shared" si="22" ref="H69:R69">100+10</f>
        <v>110</v>
      </c>
      <c r="I69" s="17">
        <f t="shared" si="22"/>
        <v>110</v>
      </c>
      <c r="J69" s="17">
        <f t="shared" si="22"/>
        <v>110</v>
      </c>
      <c r="K69" s="17">
        <f t="shared" si="22"/>
        <v>110</v>
      </c>
      <c r="L69" s="17">
        <f t="shared" si="22"/>
        <v>110</v>
      </c>
      <c r="M69" s="17">
        <f t="shared" si="22"/>
        <v>110</v>
      </c>
      <c r="N69" s="17">
        <f t="shared" si="22"/>
        <v>110</v>
      </c>
      <c r="O69" s="17">
        <f t="shared" si="22"/>
        <v>110</v>
      </c>
      <c r="P69" s="17">
        <f t="shared" si="22"/>
        <v>110</v>
      </c>
      <c r="Q69" s="17">
        <f t="shared" si="22"/>
        <v>110</v>
      </c>
      <c r="R69" s="17">
        <f t="shared" si="22"/>
        <v>110</v>
      </c>
    </row>
    <row r="70" spans="1:18" ht="19.5" customHeight="1" outlineLevel="1">
      <c r="A70" s="13"/>
      <c r="B70" s="65" t="s">
        <v>196</v>
      </c>
      <c r="C70" s="28"/>
      <c r="D70" s="28"/>
      <c r="E70" s="8"/>
      <c r="F70" s="16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 outlineLevel="1">
      <c r="A71" s="67"/>
      <c r="B71" s="68"/>
      <c r="C71" s="70" t="s">
        <v>7</v>
      </c>
      <c r="D71" s="36"/>
      <c r="E71" s="8">
        <f aca="true" t="shared" si="23" ref="E71:E78">SUM(G71:R71)</f>
        <v>2376</v>
      </c>
      <c r="F71" s="16"/>
      <c r="G71" s="33">
        <f>(180*10%)+180</f>
        <v>198</v>
      </c>
      <c r="H71" s="33">
        <f aca="true" t="shared" si="24" ref="H71:R71">(180*10%)+180</f>
        <v>198</v>
      </c>
      <c r="I71" s="33">
        <f t="shared" si="24"/>
        <v>198</v>
      </c>
      <c r="J71" s="33">
        <f t="shared" si="24"/>
        <v>198</v>
      </c>
      <c r="K71" s="33">
        <f t="shared" si="24"/>
        <v>198</v>
      </c>
      <c r="L71" s="33">
        <f t="shared" si="24"/>
        <v>198</v>
      </c>
      <c r="M71" s="33">
        <f t="shared" si="24"/>
        <v>198</v>
      </c>
      <c r="N71" s="33">
        <f t="shared" si="24"/>
        <v>198</v>
      </c>
      <c r="O71" s="33">
        <f t="shared" si="24"/>
        <v>198</v>
      </c>
      <c r="P71" s="33">
        <f t="shared" si="24"/>
        <v>198</v>
      </c>
      <c r="Q71" s="33">
        <f t="shared" si="24"/>
        <v>198</v>
      </c>
      <c r="R71" s="33">
        <f t="shared" si="24"/>
        <v>198</v>
      </c>
    </row>
    <row r="72" spans="1:18" ht="12.75" outlineLevel="1">
      <c r="A72" s="67"/>
      <c r="B72" s="68"/>
      <c r="C72" s="70" t="s">
        <v>115</v>
      </c>
      <c r="D72" s="36"/>
      <c r="E72" s="8">
        <f t="shared" si="23"/>
        <v>1742</v>
      </c>
      <c r="F72" s="16"/>
      <c r="G72" s="33">
        <v>140</v>
      </c>
      <c r="H72" s="33">
        <v>150</v>
      </c>
      <c r="I72" s="33">
        <v>140</v>
      </c>
      <c r="J72" s="33">
        <v>140</v>
      </c>
      <c r="K72" s="33">
        <v>140</v>
      </c>
      <c r="L72" s="33">
        <v>140</v>
      </c>
      <c r="M72" s="33">
        <v>140</v>
      </c>
      <c r="N72" s="33">
        <v>140</v>
      </c>
      <c r="O72" s="33">
        <f>(140*10%)+140</f>
        <v>154</v>
      </c>
      <c r="P72" s="33">
        <f>(140*10%)+140</f>
        <v>154</v>
      </c>
      <c r="Q72" s="33">
        <f>(140*10%)+140</f>
        <v>154</v>
      </c>
      <c r="R72" s="33">
        <v>150</v>
      </c>
    </row>
    <row r="73" spans="1:18" ht="12.75" outlineLevel="1">
      <c r="A73" s="67"/>
      <c r="B73" s="68"/>
      <c r="C73" s="70" t="s">
        <v>116</v>
      </c>
      <c r="D73" s="36"/>
      <c r="E73" s="8">
        <f t="shared" si="23"/>
        <v>1716</v>
      </c>
      <c r="F73" s="16"/>
      <c r="G73" s="33">
        <f>(130*10%)+130</f>
        <v>143</v>
      </c>
      <c r="H73" s="33">
        <f aca="true" t="shared" si="25" ref="H73:R73">(130*10%)+130</f>
        <v>143</v>
      </c>
      <c r="I73" s="33">
        <f t="shared" si="25"/>
        <v>143</v>
      </c>
      <c r="J73" s="33">
        <f t="shared" si="25"/>
        <v>143</v>
      </c>
      <c r="K73" s="33">
        <f t="shared" si="25"/>
        <v>143</v>
      </c>
      <c r="L73" s="33">
        <f t="shared" si="25"/>
        <v>143</v>
      </c>
      <c r="M73" s="33">
        <f t="shared" si="25"/>
        <v>143</v>
      </c>
      <c r="N73" s="33">
        <f t="shared" si="25"/>
        <v>143</v>
      </c>
      <c r="O73" s="33">
        <f t="shared" si="25"/>
        <v>143</v>
      </c>
      <c r="P73" s="33">
        <f t="shared" si="25"/>
        <v>143</v>
      </c>
      <c r="Q73" s="33">
        <f t="shared" si="25"/>
        <v>143</v>
      </c>
      <c r="R73" s="33">
        <f t="shared" si="25"/>
        <v>143</v>
      </c>
    </row>
    <row r="74" spans="1:18" ht="12.75" outlineLevel="1">
      <c r="A74" s="67"/>
      <c r="B74" s="68"/>
      <c r="C74" s="70" t="s">
        <v>12</v>
      </c>
      <c r="D74" s="36"/>
      <c r="E74" s="8">
        <f t="shared" si="23"/>
        <v>1240</v>
      </c>
      <c r="F74" s="16"/>
      <c r="G74" s="33">
        <v>100</v>
      </c>
      <c r="H74" s="33">
        <v>100</v>
      </c>
      <c r="I74" s="33">
        <v>100</v>
      </c>
      <c r="J74" s="33">
        <v>100</v>
      </c>
      <c r="K74" s="33">
        <v>100</v>
      </c>
      <c r="L74" s="33">
        <v>100</v>
      </c>
      <c r="M74" s="33">
        <v>100</v>
      </c>
      <c r="N74" s="33">
        <v>100</v>
      </c>
      <c r="O74" s="33">
        <f>(100*10%)+100</f>
        <v>110</v>
      </c>
      <c r="P74" s="33">
        <f>(100*10%)+100</f>
        <v>110</v>
      </c>
      <c r="Q74" s="33">
        <f>(100*10%)+100</f>
        <v>110</v>
      </c>
      <c r="R74" s="33">
        <f>(100*10%)+100</f>
        <v>110</v>
      </c>
    </row>
    <row r="75" spans="1:18" ht="12.75" outlineLevel="1">
      <c r="A75" s="67"/>
      <c r="B75" s="68"/>
      <c r="C75" s="70" t="s">
        <v>215</v>
      </c>
      <c r="D75" s="36"/>
      <c r="E75" s="8">
        <f t="shared" si="23"/>
        <v>1440</v>
      </c>
      <c r="F75" s="16"/>
      <c r="G75" s="33">
        <v>100</v>
      </c>
      <c r="H75" s="33">
        <v>100</v>
      </c>
      <c r="I75" s="33">
        <v>100</v>
      </c>
      <c r="J75" s="33">
        <v>100</v>
      </c>
      <c r="K75" s="33">
        <v>100</v>
      </c>
      <c r="L75" s="33">
        <v>100</v>
      </c>
      <c r="M75" s="33">
        <v>100</v>
      </c>
      <c r="N75" s="33">
        <v>100</v>
      </c>
      <c r="O75" s="33">
        <v>160</v>
      </c>
      <c r="P75" s="33">
        <v>160</v>
      </c>
      <c r="Q75" s="33">
        <v>160</v>
      </c>
      <c r="R75" s="33">
        <v>160</v>
      </c>
    </row>
    <row r="76" spans="1:18" ht="12.75" outlineLevel="1">
      <c r="A76" s="67"/>
      <c r="B76" s="68"/>
      <c r="C76" s="70" t="s">
        <v>216</v>
      </c>
      <c r="D76" s="36"/>
      <c r="E76" s="8">
        <f t="shared" si="23"/>
        <v>1200</v>
      </c>
      <c r="F76" s="16"/>
      <c r="G76" s="33">
        <v>80</v>
      </c>
      <c r="H76" s="33">
        <v>80</v>
      </c>
      <c r="I76" s="33">
        <v>80</v>
      </c>
      <c r="J76" s="33">
        <v>80</v>
      </c>
      <c r="K76" s="33">
        <v>80</v>
      </c>
      <c r="L76" s="33">
        <v>80</v>
      </c>
      <c r="M76" s="33">
        <v>80</v>
      </c>
      <c r="N76" s="33">
        <v>80</v>
      </c>
      <c r="O76" s="33">
        <v>140</v>
      </c>
      <c r="P76" s="33">
        <v>140</v>
      </c>
      <c r="Q76" s="33">
        <v>140</v>
      </c>
      <c r="R76" s="33">
        <v>140</v>
      </c>
    </row>
    <row r="77" spans="1:18" ht="12.75" outlineLevel="1">
      <c r="A77" s="67"/>
      <c r="B77" s="68"/>
      <c r="C77" s="70" t="s">
        <v>117</v>
      </c>
      <c r="D77" s="36"/>
      <c r="E77" s="8">
        <f t="shared" si="23"/>
        <v>792</v>
      </c>
      <c r="F77" s="16"/>
      <c r="G77" s="33">
        <f aca="true" t="shared" si="26" ref="G77:R77">(60*10%)+60</f>
        <v>66</v>
      </c>
      <c r="H77" s="33">
        <f t="shared" si="26"/>
        <v>66</v>
      </c>
      <c r="I77" s="33">
        <f t="shared" si="26"/>
        <v>66</v>
      </c>
      <c r="J77" s="33">
        <f t="shared" si="26"/>
        <v>66</v>
      </c>
      <c r="K77" s="33">
        <f t="shared" si="26"/>
        <v>66</v>
      </c>
      <c r="L77" s="33">
        <f t="shared" si="26"/>
        <v>66</v>
      </c>
      <c r="M77" s="33">
        <f t="shared" si="26"/>
        <v>66</v>
      </c>
      <c r="N77" s="33">
        <f t="shared" si="26"/>
        <v>66</v>
      </c>
      <c r="O77" s="33">
        <f t="shared" si="26"/>
        <v>66</v>
      </c>
      <c r="P77" s="33">
        <f t="shared" si="26"/>
        <v>66</v>
      </c>
      <c r="Q77" s="33">
        <f t="shared" si="26"/>
        <v>66</v>
      </c>
      <c r="R77" s="33">
        <f t="shared" si="26"/>
        <v>66</v>
      </c>
    </row>
    <row r="78" spans="1:18" ht="12.75" outlineLevel="1">
      <c r="A78" s="67"/>
      <c r="B78" s="68"/>
      <c r="C78" s="70" t="s">
        <v>217</v>
      </c>
      <c r="D78" s="36"/>
      <c r="E78" s="8">
        <f t="shared" si="23"/>
        <v>2400</v>
      </c>
      <c r="F78" s="16"/>
      <c r="G78" s="33">
        <f>2*100</f>
        <v>200</v>
      </c>
      <c r="H78" s="33">
        <f aca="true" t="shared" si="27" ref="H78:R78">2*100</f>
        <v>200</v>
      </c>
      <c r="I78" s="33">
        <f t="shared" si="27"/>
        <v>200</v>
      </c>
      <c r="J78" s="33">
        <f t="shared" si="27"/>
        <v>200</v>
      </c>
      <c r="K78" s="33">
        <f t="shared" si="27"/>
        <v>200</v>
      </c>
      <c r="L78" s="33">
        <f t="shared" si="27"/>
        <v>200</v>
      </c>
      <c r="M78" s="33">
        <f t="shared" si="27"/>
        <v>200</v>
      </c>
      <c r="N78" s="33">
        <f t="shared" si="27"/>
        <v>200</v>
      </c>
      <c r="O78" s="33">
        <f t="shared" si="27"/>
        <v>200</v>
      </c>
      <c r="P78" s="33">
        <f t="shared" si="27"/>
        <v>200</v>
      </c>
      <c r="Q78" s="33">
        <f t="shared" si="27"/>
        <v>200</v>
      </c>
      <c r="R78" s="33">
        <f t="shared" si="27"/>
        <v>200</v>
      </c>
    </row>
    <row r="79" spans="1:18" ht="25.5" customHeight="1" outlineLevel="1">
      <c r="A79" s="114" t="s">
        <v>8</v>
      </c>
      <c r="B79" s="115"/>
      <c r="C79" s="68"/>
      <c r="D79" s="116"/>
      <c r="E79" s="8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9.5" customHeight="1" outlineLevel="1">
      <c r="A80" s="13"/>
      <c r="B80" s="65" t="s">
        <v>222</v>
      </c>
      <c r="C80" s="28"/>
      <c r="D80" s="28"/>
      <c r="E80" s="8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2.75" outlineLevel="1">
      <c r="A81" s="67"/>
      <c r="B81" s="68"/>
      <c r="C81" s="69" t="s">
        <v>89</v>
      </c>
      <c r="D81" s="36" t="s">
        <v>280</v>
      </c>
      <c r="E81" s="8">
        <f aca="true" t="shared" si="28" ref="E81:E89">SUM(G81:R81)</f>
        <v>100</v>
      </c>
      <c r="F81" s="16"/>
      <c r="G81" s="17"/>
      <c r="H81" s="17"/>
      <c r="I81" s="17"/>
      <c r="J81" s="17">
        <v>100</v>
      </c>
      <c r="K81" s="17"/>
      <c r="L81" s="17"/>
      <c r="M81" s="17"/>
      <c r="N81" s="17"/>
      <c r="O81" s="17"/>
      <c r="P81" s="17"/>
      <c r="Q81" s="17"/>
      <c r="R81" s="17"/>
    </row>
    <row r="82" spans="1:18" ht="12.75" outlineLevel="1">
      <c r="A82" s="67"/>
      <c r="B82" s="68"/>
      <c r="C82" s="69" t="s">
        <v>94</v>
      </c>
      <c r="D82" s="36" t="s">
        <v>280</v>
      </c>
      <c r="E82" s="8">
        <f t="shared" si="28"/>
        <v>100</v>
      </c>
      <c r="F82" s="16"/>
      <c r="G82" s="17"/>
      <c r="H82" s="17"/>
      <c r="I82" s="17"/>
      <c r="J82" s="17">
        <v>100</v>
      </c>
      <c r="K82" s="17"/>
      <c r="L82" s="17"/>
      <c r="M82" s="17"/>
      <c r="N82" s="17"/>
      <c r="O82" s="17"/>
      <c r="P82" s="17"/>
      <c r="Q82" s="17"/>
      <c r="R82" s="17"/>
    </row>
    <row r="83" spans="1:18" ht="12.75" outlineLevel="1">
      <c r="A83" s="67"/>
      <c r="B83" s="68"/>
      <c r="C83" s="70" t="s">
        <v>84</v>
      </c>
      <c r="D83" s="36" t="s">
        <v>280</v>
      </c>
      <c r="E83" s="8">
        <f t="shared" si="28"/>
        <v>100</v>
      </c>
      <c r="F83" s="16"/>
      <c r="G83" s="17"/>
      <c r="H83" s="17"/>
      <c r="I83" s="17"/>
      <c r="J83" s="17">
        <v>100</v>
      </c>
      <c r="K83" s="17"/>
      <c r="L83" s="17"/>
      <c r="M83" s="17"/>
      <c r="N83" s="17"/>
      <c r="O83" s="17"/>
      <c r="P83" s="17"/>
      <c r="Q83" s="17"/>
      <c r="R83" s="17"/>
    </row>
    <row r="84" spans="1:18" ht="12.75" outlineLevel="1">
      <c r="A84" s="67"/>
      <c r="B84" s="68"/>
      <c r="C84" s="70" t="s">
        <v>119</v>
      </c>
      <c r="D84" s="36" t="s">
        <v>280</v>
      </c>
      <c r="E84" s="8">
        <f t="shared" si="28"/>
        <v>100</v>
      </c>
      <c r="F84" s="16"/>
      <c r="G84" s="17"/>
      <c r="H84" s="17"/>
      <c r="I84" s="17"/>
      <c r="J84" s="17">
        <v>100</v>
      </c>
      <c r="K84" s="17"/>
      <c r="L84" s="17"/>
      <c r="M84" s="17"/>
      <c r="N84" s="17"/>
      <c r="O84" s="17"/>
      <c r="P84" s="17"/>
      <c r="Q84" s="17"/>
      <c r="R84" s="17"/>
    </row>
    <row r="85" spans="1:18" ht="12.75" outlineLevel="1">
      <c r="A85" s="67"/>
      <c r="B85" s="68"/>
      <c r="C85" s="70" t="s">
        <v>120</v>
      </c>
      <c r="D85" s="36" t="s">
        <v>280</v>
      </c>
      <c r="E85" s="8">
        <f t="shared" si="28"/>
        <v>100</v>
      </c>
      <c r="F85" s="16"/>
      <c r="G85" s="17"/>
      <c r="H85" s="17"/>
      <c r="I85" s="17"/>
      <c r="J85" s="17">
        <v>100</v>
      </c>
      <c r="K85" s="17"/>
      <c r="L85" s="17"/>
      <c r="M85" s="17"/>
      <c r="N85" s="17"/>
      <c r="O85" s="17"/>
      <c r="P85" s="17"/>
      <c r="Q85" s="17"/>
      <c r="R85" s="17"/>
    </row>
    <row r="86" spans="1:18" ht="12.75" outlineLevel="1">
      <c r="A86" s="67"/>
      <c r="B86" s="68"/>
      <c r="C86" s="70" t="s">
        <v>95</v>
      </c>
      <c r="D86" s="36" t="s">
        <v>280</v>
      </c>
      <c r="E86" s="8">
        <f t="shared" si="28"/>
        <v>100</v>
      </c>
      <c r="F86" s="16"/>
      <c r="G86" s="17"/>
      <c r="H86" s="17"/>
      <c r="I86" s="17"/>
      <c r="J86" s="17">
        <v>100</v>
      </c>
      <c r="K86" s="17"/>
      <c r="L86" s="17"/>
      <c r="M86" s="17"/>
      <c r="N86" s="17"/>
      <c r="O86" s="17"/>
      <c r="P86" s="17"/>
      <c r="Q86" s="17"/>
      <c r="R86" s="17"/>
    </row>
    <row r="87" spans="1:18" ht="12.75" outlineLevel="1">
      <c r="A87" s="67"/>
      <c r="B87" s="68"/>
      <c r="C87" s="70" t="s">
        <v>188</v>
      </c>
      <c r="D87" s="36" t="s">
        <v>280</v>
      </c>
      <c r="E87" s="8">
        <f t="shared" si="28"/>
        <v>100</v>
      </c>
      <c r="F87" s="16"/>
      <c r="G87" s="17"/>
      <c r="H87" s="17"/>
      <c r="I87" s="17"/>
      <c r="J87" s="17">
        <v>100</v>
      </c>
      <c r="K87" s="17"/>
      <c r="L87" s="17"/>
      <c r="M87" s="17"/>
      <c r="N87" s="17"/>
      <c r="O87" s="17"/>
      <c r="P87" s="17"/>
      <c r="Q87" s="17"/>
      <c r="R87" s="17"/>
    </row>
    <row r="88" spans="1:18" ht="12.75" outlineLevel="1">
      <c r="A88" s="67"/>
      <c r="B88" s="68"/>
      <c r="C88" s="70" t="s">
        <v>121</v>
      </c>
      <c r="D88" s="36" t="s">
        <v>281</v>
      </c>
      <c r="E88" s="8">
        <f t="shared" si="28"/>
        <v>50</v>
      </c>
      <c r="F88" s="16"/>
      <c r="G88" s="17"/>
      <c r="H88" s="17"/>
      <c r="I88" s="17"/>
      <c r="J88" s="17">
        <v>50</v>
      </c>
      <c r="K88" s="17"/>
      <c r="L88" s="17"/>
      <c r="M88" s="17"/>
      <c r="N88" s="17"/>
      <c r="O88" s="17"/>
      <c r="P88" s="17"/>
      <c r="Q88" s="17"/>
      <c r="R88" s="17"/>
    </row>
    <row r="89" spans="1:18" ht="13.5" customHeight="1" outlineLevel="1">
      <c r="A89" s="67"/>
      <c r="B89" s="68"/>
      <c r="C89" s="70" t="s">
        <v>96</v>
      </c>
      <c r="D89" s="36" t="s">
        <v>280</v>
      </c>
      <c r="E89" s="8">
        <f t="shared" si="28"/>
        <v>100</v>
      </c>
      <c r="F89" s="16"/>
      <c r="G89" s="17"/>
      <c r="H89" s="17"/>
      <c r="I89" s="17"/>
      <c r="J89" s="17">
        <v>100</v>
      </c>
      <c r="K89" s="17"/>
      <c r="L89" s="17"/>
      <c r="M89" s="17"/>
      <c r="N89" s="17"/>
      <c r="O89" s="17"/>
      <c r="P89" s="17"/>
      <c r="Q89" s="17"/>
      <c r="R89" s="17"/>
    </row>
    <row r="90" spans="1:18" ht="19.5" customHeight="1" outlineLevel="1">
      <c r="A90" s="13"/>
      <c r="B90" s="65" t="s">
        <v>221</v>
      </c>
      <c r="C90" s="28"/>
      <c r="D90" s="28"/>
      <c r="E90" s="8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ht="12.75" outlineLevel="1">
      <c r="A91" s="67"/>
      <c r="B91" s="68"/>
      <c r="C91" s="70" t="s">
        <v>84</v>
      </c>
      <c r="D91" s="36" t="s">
        <v>280</v>
      </c>
      <c r="E91" s="8">
        <f aca="true" t="shared" si="29" ref="E91:E98">SUM(G91:R91)</f>
        <v>100</v>
      </c>
      <c r="F91" s="16"/>
      <c r="G91" s="17"/>
      <c r="H91" s="17"/>
      <c r="I91" s="17"/>
      <c r="J91" s="17">
        <v>100</v>
      </c>
      <c r="K91" s="17"/>
      <c r="L91" s="17"/>
      <c r="M91" s="17"/>
      <c r="N91" s="17"/>
      <c r="O91" s="17"/>
      <c r="P91" s="17"/>
      <c r="Q91" s="17"/>
      <c r="R91" s="17"/>
    </row>
    <row r="92" spans="1:18" ht="12.75" outlineLevel="1">
      <c r="A92" s="67"/>
      <c r="B92" s="68"/>
      <c r="C92" s="70" t="s">
        <v>119</v>
      </c>
      <c r="D92" s="36" t="s">
        <v>280</v>
      </c>
      <c r="E92" s="8">
        <f t="shared" si="29"/>
        <v>100</v>
      </c>
      <c r="F92" s="16"/>
      <c r="G92" s="17"/>
      <c r="H92" s="17"/>
      <c r="I92" s="17"/>
      <c r="J92" s="17">
        <v>100</v>
      </c>
      <c r="K92" s="17"/>
      <c r="L92" s="17"/>
      <c r="M92" s="17"/>
      <c r="N92" s="17"/>
      <c r="O92" s="17"/>
      <c r="P92" s="17"/>
      <c r="Q92" s="17"/>
      <c r="R92" s="17"/>
    </row>
    <row r="93" spans="1:18" ht="12.75" outlineLevel="1">
      <c r="A93" s="67"/>
      <c r="B93" s="68"/>
      <c r="C93" s="70" t="s">
        <v>120</v>
      </c>
      <c r="D93" s="36" t="s">
        <v>280</v>
      </c>
      <c r="E93" s="8">
        <f t="shared" si="29"/>
        <v>100</v>
      </c>
      <c r="F93" s="16"/>
      <c r="G93" s="17"/>
      <c r="H93" s="17"/>
      <c r="I93" s="17"/>
      <c r="J93" s="17">
        <v>100</v>
      </c>
      <c r="K93" s="17"/>
      <c r="L93" s="17"/>
      <c r="M93" s="17"/>
      <c r="N93" s="17"/>
      <c r="O93" s="17"/>
      <c r="P93" s="17"/>
      <c r="Q93" s="17"/>
      <c r="R93" s="17"/>
    </row>
    <row r="94" spans="1:18" ht="12.75" outlineLevel="1">
      <c r="A94" s="67"/>
      <c r="B94" s="68"/>
      <c r="C94" s="70" t="s">
        <v>95</v>
      </c>
      <c r="D94" s="36" t="s">
        <v>280</v>
      </c>
      <c r="E94" s="8">
        <f t="shared" si="29"/>
        <v>100</v>
      </c>
      <c r="F94" s="16"/>
      <c r="G94" s="17"/>
      <c r="H94" s="17"/>
      <c r="I94" s="17"/>
      <c r="J94" s="17">
        <v>100</v>
      </c>
      <c r="K94" s="17"/>
      <c r="L94" s="17"/>
      <c r="M94" s="17"/>
      <c r="N94" s="17"/>
      <c r="O94" s="17"/>
      <c r="P94" s="17"/>
      <c r="Q94" s="17"/>
      <c r="R94" s="17"/>
    </row>
    <row r="95" spans="1:18" ht="12.75" outlineLevel="1">
      <c r="A95" s="67"/>
      <c r="B95" s="68"/>
      <c r="C95" s="70" t="s">
        <v>218</v>
      </c>
      <c r="D95" s="36" t="s">
        <v>281</v>
      </c>
      <c r="E95" s="8">
        <f t="shared" si="29"/>
        <v>50</v>
      </c>
      <c r="F95" s="16"/>
      <c r="G95" s="17"/>
      <c r="H95" s="17"/>
      <c r="I95" s="17"/>
      <c r="J95" s="17">
        <v>50</v>
      </c>
      <c r="K95" s="17"/>
      <c r="L95" s="17"/>
      <c r="M95" s="17"/>
      <c r="N95" s="17"/>
      <c r="O95" s="17"/>
      <c r="P95" s="17"/>
      <c r="Q95" s="17"/>
      <c r="R95" s="17"/>
    </row>
    <row r="96" spans="1:18" ht="12.75" outlineLevel="1">
      <c r="A96" s="67"/>
      <c r="B96" s="68"/>
      <c r="C96" s="70" t="s">
        <v>219</v>
      </c>
      <c r="D96" s="36" t="s">
        <v>281</v>
      </c>
      <c r="E96" s="8">
        <f t="shared" si="29"/>
        <v>50</v>
      </c>
      <c r="F96" s="16"/>
      <c r="G96" s="17"/>
      <c r="H96" s="17"/>
      <c r="I96" s="17"/>
      <c r="J96" s="17">
        <v>50</v>
      </c>
      <c r="K96" s="17"/>
      <c r="L96" s="17"/>
      <c r="M96" s="17"/>
      <c r="N96" s="17"/>
      <c r="O96" s="17"/>
      <c r="P96" s="17"/>
      <c r="Q96" s="17"/>
      <c r="R96" s="17"/>
    </row>
    <row r="97" spans="1:18" ht="12.75" outlineLevel="1">
      <c r="A97" s="67"/>
      <c r="B97" s="68"/>
      <c r="C97" s="70" t="s">
        <v>121</v>
      </c>
      <c r="D97" s="36" t="s">
        <v>281</v>
      </c>
      <c r="E97" s="8">
        <f t="shared" si="29"/>
        <v>50</v>
      </c>
      <c r="F97" s="16"/>
      <c r="G97" s="17"/>
      <c r="H97" s="17"/>
      <c r="I97" s="17"/>
      <c r="J97" s="17">
        <v>50</v>
      </c>
      <c r="K97" s="17"/>
      <c r="L97" s="17"/>
      <c r="M97" s="17"/>
      <c r="N97" s="17"/>
      <c r="O97" s="17"/>
      <c r="P97" s="17"/>
      <c r="Q97" s="17"/>
      <c r="R97" s="17"/>
    </row>
    <row r="98" spans="1:18" ht="13.5" customHeight="1" outlineLevel="1">
      <c r="A98" s="67"/>
      <c r="B98" s="68"/>
      <c r="C98" s="70" t="s">
        <v>220</v>
      </c>
      <c r="D98" s="36" t="s">
        <v>280</v>
      </c>
      <c r="E98" s="8">
        <f t="shared" si="29"/>
        <v>200</v>
      </c>
      <c r="F98" s="16"/>
      <c r="G98" s="17"/>
      <c r="H98" s="17"/>
      <c r="I98" s="17"/>
      <c r="J98" s="17">
        <f>2*100</f>
        <v>200</v>
      </c>
      <c r="K98" s="17"/>
      <c r="L98" s="17"/>
      <c r="M98" s="17"/>
      <c r="N98" s="17"/>
      <c r="O98" s="17"/>
      <c r="P98" s="17"/>
      <c r="Q98" s="17"/>
      <c r="R98" s="17"/>
    </row>
    <row r="99" spans="1:18" ht="19.5" customHeight="1" outlineLevel="1">
      <c r="A99" s="13"/>
      <c r="B99" s="65" t="s">
        <v>279</v>
      </c>
      <c r="C99" s="28"/>
      <c r="D99" s="28"/>
      <c r="E99" s="8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s="46" customFormat="1" ht="12.75" outlineLevel="1">
      <c r="A100" s="117"/>
      <c r="B100" s="118"/>
      <c r="C100" s="69" t="s">
        <v>268</v>
      </c>
      <c r="D100" s="110" t="s">
        <v>282</v>
      </c>
      <c r="E100" s="32">
        <f>SUM(G100:R100)</f>
        <v>1000</v>
      </c>
      <c r="F100" s="16"/>
      <c r="G100" s="33">
        <v>1000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9.5" customHeight="1" outlineLevel="1">
      <c r="A101" s="13"/>
      <c r="B101" s="65" t="s">
        <v>284</v>
      </c>
      <c r="C101" s="28"/>
      <c r="D101" s="28"/>
      <c r="E101" s="8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s="46" customFormat="1" ht="12.75" outlineLevel="1">
      <c r="A102" s="117"/>
      <c r="B102" s="118"/>
      <c r="C102" s="69" t="s">
        <v>268</v>
      </c>
      <c r="D102" s="110" t="s">
        <v>285</v>
      </c>
      <c r="E102" s="32">
        <f>SUM(G102:R102)</f>
        <v>285</v>
      </c>
      <c r="F102" s="16"/>
      <c r="G102" s="33"/>
      <c r="H102" s="33"/>
      <c r="I102" s="33"/>
      <c r="J102" s="33"/>
      <c r="K102" s="33"/>
      <c r="L102" s="33"/>
      <c r="M102" s="33"/>
      <c r="N102" s="33"/>
      <c r="O102" s="33"/>
      <c r="P102" s="33">
        <v>285</v>
      </c>
      <c r="Q102" s="33"/>
      <c r="R102" s="33"/>
    </row>
    <row r="103" spans="1:18" ht="19.5" customHeight="1" outlineLevel="1">
      <c r="A103" s="13"/>
      <c r="B103" s="65" t="s">
        <v>265</v>
      </c>
      <c r="C103" s="28"/>
      <c r="D103" s="28"/>
      <c r="E103" s="8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s="46" customFormat="1" ht="12.75" outlineLevel="1">
      <c r="A104" s="117"/>
      <c r="B104" s="118"/>
      <c r="C104" s="69" t="s">
        <v>268</v>
      </c>
      <c r="D104" s="110"/>
      <c r="E104" s="32">
        <f>SUM(G104:R104)</f>
        <v>1000</v>
      </c>
      <c r="F104" s="16"/>
      <c r="G104" s="33">
        <v>1000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18" ht="12.75" outlineLevel="1">
      <c r="A105" s="67"/>
      <c r="B105" s="68"/>
      <c r="C105" s="69" t="s">
        <v>267</v>
      </c>
      <c r="D105" s="110" t="s">
        <v>278</v>
      </c>
      <c r="E105" s="8">
        <f aca="true" t="shared" si="30" ref="E105:E111">SUM(G105:R105)</f>
        <v>119</v>
      </c>
      <c r="F105" s="16"/>
      <c r="G105" s="17">
        <v>119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2.75" outlineLevel="1">
      <c r="A106" s="67"/>
      <c r="B106" s="68"/>
      <c r="C106" s="70" t="s">
        <v>269</v>
      </c>
      <c r="D106" s="110" t="s">
        <v>278</v>
      </c>
      <c r="E106" s="8">
        <f t="shared" si="30"/>
        <v>119</v>
      </c>
      <c r="F106" s="16"/>
      <c r="G106" s="17">
        <v>119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ht="12.75" outlineLevel="1">
      <c r="A107" s="67"/>
      <c r="B107" s="68"/>
      <c r="C107" s="70" t="s">
        <v>270</v>
      </c>
      <c r="D107" s="110" t="s">
        <v>278</v>
      </c>
      <c r="E107" s="8">
        <f t="shared" si="30"/>
        <v>119</v>
      </c>
      <c r="F107" s="16"/>
      <c r="G107" s="17">
        <v>119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ht="12.75" outlineLevel="1">
      <c r="A108" s="67"/>
      <c r="B108" s="68"/>
      <c r="C108" s="70" t="s">
        <v>271</v>
      </c>
      <c r="D108" s="110" t="s">
        <v>278</v>
      </c>
      <c r="E108" s="8">
        <f t="shared" si="30"/>
        <v>119</v>
      </c>
      <c r="F108" s="16"/>
      <c r="G108" s="17">
        <v>119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ht="12.75" outlineLevel="1">
      <c r="A109" s="67"/>
      <c r="B109" s="68"/>
      <c r="C109" s="70" t="s">
        <v>272</v>
      </c>
      <c r="D109" s="110" t="s">
        <v>278</v>
      </c>
      <c r="E109" s="8">
        <f>SUM(G109:R109)</f>
        <v>119</v>
      </c>
      <c r="F109" s="16"/>
      <c r="G109" s="17">
        <v>119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12.75" outlineLevel="1">
      <c r="A110" s="67"/>
      <c r="B110" s="68"/>
      <c r="C110" s="70" t="s">
        <v>276</v>
      </c>
      <c r="D110" s="110" t="s">
        <v>278</v>
      </c>
      <c r="E110" s="8">
        <f>SUM(G110:R110)</f>
        <v>119</v>
      </c>
      <c r="F110" s="16"/>
      <c r="G110" s="17">
        <v>119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ht="12.75" outlineLevel="1">
      <c r="A111" s="67"/>
      <c r="B111" s="68"/>
      <c r="C111" s="70" t="s">
        <v>273</v>
      </c>
      <c r="D111" s="110" t="s">
        <v>278</v>
      </c>
      <c r="E111" s="8">
        <f t="shared" si="30"/>
        <v>119</v>
      </c>
      <c r="F111" s="16"/>
      <c r="G111" s="17">
        <v>119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ht="19.5" customHeight="1" outlineLevel="1">
      <c r="A112" s="13"/>
      <c r="B112" s="65" t="s">
        <v>266</v>
      </c>
      <c r="C112" s="28"/>
      <c r="D112" s="28"/>
      <c r="E112" s="8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ht="12.75" outlineLevel="1">
      <c r="A113" s="67"/>
      <c r="B113" s="68"/>
      <c r="C113" s="70" t="s">
        <v>274</v>
      </c>
      <c r="D113" s="110" t="s">
        <v>278</v>
      </c>
      <c r="E113" s="8">
        <f>SUM(G113:R113)</f>
        <v>119</v>
      </c>
      <c r="F113" s="16"/>
      <c r="G113" s="17">
        <v>119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ht="12.75" outlineLevel="1">
      <c r="A114" s="67"/>
      <c r="B114" s="68"/>
      <c r="C114" s="70" t="s">
        <v>270</v>
      </c>
      <c r="D114" s="110" t="s">
        <v>278</v>
      </c>
      <c r="E114" s="8">
        <f>SUM(G114:R114)</f>
        <v>119</v>
      </c>
      <c r="F114" s="16"/>
      <c r="G114" s="17">
        <v>119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ht="12.75" outlineLevel="1">
      <c r="A115" s="67"/>
      <c r="B115" s="68"/>
      <c r="C115" s="70" t="s">
        <v>271</v>
      </c>
      <c r="D115" s="110" t="s">
        <v>278</v>
      </c>
      <c r="E115" s="8">
        <f>SUM(G115:R115)</f>
        <v>119</v>
      </c>
      <c r="F115" s="16"/>
      <c r="G115" s="17">
        <v>119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ht="12.75" outlineLevel="1">
      <c r="A116" s="67"/>
      <c r="B116" s="68"/>
      <c r="C116" s="70" t="s">
        <v>272</v>
      </c>
      <c r="D116" s="110" t="s">
        <v>278</v>
      </c>
      <c r="E116" s="8">
        <f>SUM(G116:R116)</f>
        <v>119</v>
      </c>
      <c r="F116" s="16"/>
      <c r="G116" s="17">
        <v>119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ht="12.75" outlineLevel="1">
      <c r="A117" s="67"/>
      <c r="B117" s="68"/>
      <c r="C117" s="70" t="s">
        <v>275</v>
      </c>
      <c r="D117" s="110" t="s">
        <v>278</v>
      </c>
      <c r="E117" s="8">
        <f>SUM(G117:R117)</f>
        <v>238</v>
      </c>
      <c r="F117" s="16"/>
      <c r="G117" s="17">
        <f>2*119</f>
        <v>238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46" customFormat="1" ht="25.5" customHeight="1" outlineLevel="1">
      <c r="A118" s="114" t="s">
        <v>55</v>
      </c>
      <c r="B118" s="115"/>
      <c r="C118" s="118"/>
      <c r="D118" s="36"/>
      <c r="E118" s="32"/>
      <c r="F118" s="16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12.75" outlineLevel="1">
      <c r="A119" s="12"/>
      <c r="B119" s="64"/>
      <c r="C119" s="27" t="s">
        <v>157</v>
      </c>
      <c r="D119" s="27" t="s">
        <v>277</v>
      </c>
      <c r="E119" s="8">
        <f>SUM(G119:R119)</f>
        <v>3440</v>
      </c>
      <c r="F119" s="16"/>
      <c r="G119" s="17">
        <f>4*860/2</f>
        <v>1720</v>
      </c>
      <c r="H119" s="17"/>
      <c r="I119" s="17"/>
      <c r="J119" s="17"/>
      <c r="K119" s="17"/>
      <c r="L119" s="17"/>
      <c r="M119" s="17">
        <f>4*860/2</f>
        <v>1720</v>
      </c>
      <c r="N119" s="17"/>
      <c r="O119" s="17"/>
      <c r="P119" s="17"/>
      <c r="Q119" s="17"/>
      <c r="R119" s="17"/>
    </row>
    <row r="120" spans="1:18" ht="12.75" outlineLevel="1">
      <c r="A120" s="12"/>
      <c r="B120" s="64"/>
      <c r="C120" s="27" t="s">
        <v>127</v>
      </c>
      <c r="D120" s="27" t="s">
        <v>223</v>
      </c>
      <c r="E120" s="8">
        <f>SUM(G120:R120)</f>
        <v>7040</v>
      </c>
      <c r="F120" s="16"/>
      <c r="G120" s="17">
        <f>(5*160)+(6*160)</f>
        <v>1760</v>
      </c>
      <c r="H120" s="17"/>
      <c r="I120" s="17"/>
      <c r="J120" s="17">
        <f>(5*160)+(6*160)</f>
        <v>1760</v>
      </c>
      <c r="K120" s="17"/>
      <c r="L120" s="17"/>
      <c r="M120" s="17">
        <f>(5*160)+(6*160)</f>
        <v>1760</v>
      </c>
      <c r="N120" s="17"/>
      <c r="O120" s="17"/>
      <c r="P120" s="17">
        <f>(5*160)+(6*160)</f>
        <v>1760</v>
      </c>
      <c r="Q120" s="17"/>
      <c r="R120" s="17"/>
    </row>
    <row r="121" spans="1:18" s="46" customFormat="1" ht="12.75" outlineLevel="1">
      <c r="A121" s="105"/>
      <c r="B121" s="106"/>
      <c r="C121" s="80" t="s">
        <v>264</v>
      </c>
      <c r="D121" s="80"/>
      <c r="E121" s="32">
        <f>SUM(G121:R121)</f>
        <v>2500</v>
      </c>
      <c r="F121" s="112"/>
      <c r="G121" s="33">
        <v>2500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5.5" customHeight="1" outlineLevel="1">
      <c r="A122" s="13" t="s">
        <v>85</v>
      </c>
      <c r="B122" s="63"/>
      <c r="C122" s="28"/>
      <c r="D122" s="27"/>
      <c r="E122" s="8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ht="12.75" outlineLevel="1">
      <c r="A123" s="12"/>
      <c r="B123" s="1"/>
      <c r="C123" s="27" t="s">
        <v>97</v>
      </c>
      <c r="D123" s="27" t="s">
        <v>224</v>
      </c>
      <c r="E123" s="8">
        <f>SUM(G123:R123)</f>
        <v>100</v>
      </c>
      <c r="F123" s="16"/>
      <c r="G123" s="17">
        <f>2*50</f>
        <v>100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2.75" outlineLevel="1">
      <c r="A124" s="12"/>
      <c r="B124" s="1"/>
      <c r="C124" s="27" t="s">
        <v>82</v>
      </c>
      <c r="D124" s="27" t="s">
        <v>225</v>
      </c>
      <c r="E124" s="8">
        <f>SUM(G124:R124)</f>
        <v>200</v>
      </c>
      <c r="F124" s="16"/>
      <c r="G124" s="17">
        <f>2*100</f>
        <v>200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ht="25.5" customHeight="1" outlineLevel="1">
      <c r="A125" s="114" t="s">
        <v>52</v>
      </c>
      <c r="B125" s="115"/>
      <c r="C125" s="68"/>
      <c r="D125" s="116"/>
      <c r="E125" s="8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ht="12.75" outlineLevel="1">
      <c r="A126" s="67"/>
      <c r="B126" s="68"/>
      <c r="C126" s="70" t="s">
        <v>59</v>
      </c>
      <c r="D126" s="111" t="s">
        <v>226</v>
      </c>
      <c r="E126" s="8">
        <f>SUM(G126:R126)</f>
        <v>7200</v>
      </c>
      <c r="F126" s="16"/>
      <c r="G126" s="17">
        <f>250+350</f>
        <v>600</v>
      </c>
      <c r="H126" s="17">
        <f aca="true" t="shared" si="31" ref="H126:R126">250+350</f>
        <v>600</v>
      </c>
      <c r="I126" s="17">
        <f t="shared" si="31"/>
        <v>600</v>
      </c>
      <c r="J126" s="17">
        <f t="shared" si="31"/>
        <v>600</v>
      </c>
      <c r="K126" s="17">
        <f t="shared" si="31"/>
        <v>600</v>
      </c>
      <c r="L126" s="17">
        <f t="shared" si="31"/>
        <v>600</v>
      </c>
      <c r="M126" s="17">
        <f t="shared" si="31"/>
        <v>600</v>
      </c>
      <c r="N126" s="17">
        <f t="shared" si="31"/>
        <v>600</v>
      </c>
      <c r="O126" s="17">
        <f t="shared" si="31"/>
        <v>600</v>
      </c>
      <c r="P126" s="17">
        <f t="shared" si="31"/>
        <v>600</v>
      </c>
      <c r="Q126" s="17">
        <f t="shared" si="31"/>
        <v>600</v>
      </c>
      <c r="R126" s="17">
        <f t="shared" si="31"/>
        <v>600</v>
      </c>
    </row>
    <row r="127" spans="1:18" ht="12.75" outlineLevel="1">
      <c r="A127" s="67"/>
      <c r="B127" s="68"/>
      <c r="C127" s="70" t="s">
        <v>1</v>
      </c>
      <c r="D127" s="111" t="s">
        <v>227</v>
      </c>
      <c r="E127" s="8">
        <f>SUM(G127:R127)</f>
        <v>840</v>
      </c>
      <c r="F127" s="16"/>
      <c r="G127" s="17">
        <f>30+40</f>
        <v>70</v>
      </c>
      <c r="H127" s="17">
        <f aca="true" t="shared" si="32" ref="H127:R127">30+40</f>
        <v>70</v>
      </c>
      <c r="I127" s="17">
        <f t="shared" si="32"/>
        <v>70</v>
      </c>
      <c r="J127" s="17">
        <f t="shared" si="32"/>
        <v>70</v>
      </c>
      <c r="K127" s="17">
        <f t="shared" si="32"/>
        <v>70</v>
      </c>
      <c r="L127" s="17">
        <f t="shared" si="32"/>
        <v>70</v>
      </c>
      <c r="M127" s="17">
        <f t="shared" si="32"/>
        <v>70</v>
      </c>
      <c r="N127" s="17">
        <f t="shared" si="32"/>
        <v>70</v>
      </c>
      <c r="O127" s="17">
        <f t="shared" si="32"/>
        <v>70</v>
      </c>
      <c r="P127" s="17">
        <f t="shared" si="32"/>
        <v>70</v>
      </c>
      <c r="Q127" s="17">
        <f t="shared" si="32"/>
        <v>70</v>
      </c>
      <c r="R127" s="17">
        <f t="shared" si="32"/>
        <v>70</v>
      </c>
    </row>
    <row r="128" spans="1:18" ht="12.75" outlineLevel="1">
      <c r="A128" s="67"/>
      <c r="B128" s="68"/>
      <c r="C128" s="70" t="s">
        <v>47</v>
      </c>
      <c r="D128" s="111" t="s">
        <v>110</v>
      </c>
      <c r="E128" s="8">
        <f>SUM(G128:R128)</f>
        <v>0</v>
      </c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t="12.75" outlineLevel="1">
      <c r="A129" s="67"/>
      <c r="B129" s="68"/>
      <c r="C129" s="70" t="s">
        <v>4</v>
      </c>
      <c r="D129" s="111" t="s">
        <v>228</v>
      </c>
      <c r="E129" s="8">
        <f>SUM(G129:R129)</f>
        <v>288</v>
      </c>
      <c r="F129" s="16"/>
      <c r="G129" s="17">
        <f>2*12</f>
        <v>24</v>
      </c>
      <c r="H129" s="17">
        <f aca="true" t="shared" si="33" ref="H129:R129">2*12</f>
        <v>24</v>
      </c>
      <c r="I129" s="17">
        <f t="shared" si="33"/>
        <v>24</v>
      </c>
      <c r="J129" s="17">
        <f t="shared" si="33"/>
        <v>24</v>
      </c>
      <c r="K129" s="17">
        <f t="shared" si="33"/>
        <v>24</v>
      </c>
      <c r="L129" s="17">
        <f t="shared" si="33"/>
        <v>24</v>
      </c>
      <c r="M129" s="17">
        <f t="shared" si="33"/>
        <v>24</v>
      </c>
      <c r="N129" s="17">
        <f t="shared" si="33"/>
        <v>24</v>
      </c>
      <c r="O129" s="17">
        <f t="shared" si="33"/>
        <v>24</v>
      </c>
      <c r="P129" s="17">
        <f t="shared" si="33"/>
        <v>24</v>
      </c>
      <c r="Q129" s="17">
        <f t="shared" si="33"/>
        <v>24</v>
      </c>
      <c r="R129" s="17">
        <f t="shared" si="33"/>
        <v>24</v>
      </c>
    </row>
    <row r="130" spans="1:18" ht="25.5" customHeight="1" outlineLevel="1">
      <c r="A130" s="114" t="s">
        <v>53</v>
      </c>
      <c r="B130" s="115"/>
      <c r="C130" s="68"/>
      <c r="D130" s="116"/>
      <c r="E130" s="8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t="12.75" outlineLevel="1">
      <c r="A131" s="67"/>
      <c r="B131" s="68"/>
      <c r="C131" s="70" t="s">
        <v>80</v>
      </c>
      <c r="D131" s="110" t="s">
        <v>229</v>
      </c>
      <c r="E131" s="8">
        <f>SUM(G131:R131)</f>
        <v>420</v>
      </c>
      <c r="F131" s="16"/>
      <c r="G131" s="17">
        <f>20+15</f>
        <v>35</v>
      </c>
      <c r="H131" s="17">
        <f>20+15</f>
        <v>35</v>
      </c>
      <c r="I131" s="17">
        <f aca="true" t="shared" si="34" ref="I131:R131">20+15</f>
        <v>35</v>
      </c>
      <c r="J131" s="17">
        <f t="shared" si="34"/>
        <v>35</v>
      </c>
      <c r="K131" s="17">
        <f t="shared" si="34"/>
        <v>35</v>
      </c>
      <c r="L131" s="17">
        <f t="shared" si="34"/>
        <v>35</v>
      </c>
      <c r="M131" s="17">
        <f t="shared" si="34"/>
        <v>35</v>
      </c>
      <c r="N131" s="17">
        <f t="shared" si="34"/>
        <v>35</v>
      </c>
      <c r="O131" s="17">
        <f t="shared" si="34"/>
        <v>35</v>
      </c>
      <c r="P131" s="17">
        <f t="shared" si="34"/>
        <v>35</v>
      </c>
      <c r="Q131" s="17">
        <f t="shared" si="34"/>
        <v>35</v>
      </c>
      <c r="R131" s="17">
        <f t="shared" si="34"/>
        <v>35</v>
      </c>
    </row>
    <row r="132" spans="1:18" ht="12.75" outlineLevel="1">
      <c r="A132" s="67"/>
      <c r="B132" s="68"/>
      <c r="C132" s="70" t="s">
        <v>48</v>
      </c>
      <c r="D132" s="111" t="s">
        <v>230</v>
      </c>
      <c r="E132" s="8">
        <f>SUM(G132:R132)</f>
        <v>360</v>
      </c>
      <c r="F132" s="16"/>
      <c r="G132" s="17">
        <f>2*15</f>
        <v>30</v>
      </c>
      <c r="H132" s="17">
        <f aca="true" t="shared" si="35" ref="H132:R132">2*15</f>
        <v>30</v>
      </c>
      <c r="I132" s="17">
        <f t="shared" si="35"/>
        <v>30</v>
      </c>
      <c r="J132" s="17">
        <f t="shared" si="35"/>
        <v>30</v>
      </c>
      <c r="K132" s="17">
        <f t="shared" si="35"/>
        <v>30</v>
      </c>
      <c r="L132" s="17">
        <f t="shared" si="35"/>
        <v>30</v>
      </c>
      <c r="M132" s="17">
        <f t="shared" si="35"/>
        <v>30</v>
      </c>
      <c r="N132" s="17">
        <f t="shared" si="35"/>
        <v>30</v>
      </c>
      <c r="O132" s="17">
        <f t="shared" si="35"/>
        <v>30</v>
      </c>
      <c r="P132" s="17">
        <f t="shared" si="35"/>
        <v>30</v>
      </c>
      <c r="Q132" s="17">
        <f t="shared" si="35"/>
        <v>30</v>
      </c>
      <c r="R132" s="17">
        <f t="shared" si="35"/>
        <v>30</v>
      </c>
    </row>
    <row r="133" spans="1:18" ht="25.5" customHeight="1" outlineLevel="1">
      <c r="A133" s="114" t="s">
        <v>2</v>
      </c>
      <c r="B133" s="115"/>
      <c r="C133" s="68"/>
      <c r="D133" s="116"/>
      <c r="E133" s="8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t="12.75" outlineLevel="1">
      <c r="A134" s="12"/>
      <c r="B134" s="64"/>
      <c r="C134" s="38" t="s">
        <v>44</v>
      </c>
      <c r="D134" s="81" t="s">
        <v>231</v>
      </c>
      <c r="E134" s="8">
        <f>SUM(G134:R134)</f>
        <v>360</v>
      </c>
      <c r="F134" s="31"/>
      <c r="G134" s="17">
        <f>15*2</f>
        <v>30</v>
      </c>
      <c r="H134" s="17">
        <f aca="true" t="shared" si="36" ref="H134:R134">15*2</f>
        <v>30</v>
      </c>
      <c r="I134" s="17">
        <f t="shared" si="36"/>
        <v>30</v>
      </c>
      <c r="J134" s="17">
        <f t="shared" si="36"/>
        <v>30</v>
      </c>
      <c r="K134" s="17">
        <f t="shared" si="36"/>
        <v>30</v>
      </c>
      <c r="L134" s="17">
        <f t="shared" si="36"/>
        <v>30</v>
      </c>
      <c r="M134" s="17">
        <f t="shared" si="36"/>
        <v>30</v>
      </c>
      <c r="N134" s="17">
        <f t="shared" si="36"/>
        <v>30</v>
      </c>
      <c r="O134" s="17">
        <f t="shared" si="36"/>
        <v>30</v>
      </c>
      <c r="P134" s="17">
        <f t="shared" si="36"/>
        <v>30</v>
      </c>
      <c r="Q134" s="17">
        <f t="shared" si="36"/>
        <v>30</v>
      </c>
      <c r="R134" s="17">
        <f t="shared" si="36"/>
        <v>30</v>
      </c>
    </row>
    <row r="135" spans="1:18" ht="12.75" outlineLevel="1">
      <c r="A135" s="37"/>
      <c r="B135" s="1"/>
      <c r="C135" s="38" t="s">
        <v>45</v>
      </c>
      <c r="D135" s="81" t="s">
        <v>232</v>
      </c>
      <c r="E135" s="8">
        <f>SUM(G135:R135)</f>
        <v>80</v>
      </c>
      <c r="F135" s="16"/>
      <c r="G135" s="17">
        <f>10*2</f>
        <v>20</v>
      </c>
      <c r="H135" s="17"/>
      <c r="I135" s="17"/>
      <c r="J135" s="17">
        <f>10*2</f>
        <v>20</v>
      </c>
      <c r="K135" s="17"/>
      <c r="L135" s="17"/>
      <c r="M135" s="17">
        <f>10*2</f>
        <v>20</v>
      </c>
      <c r="N135" s="17"/>
      <c r="O135" s="17"/>
      <c r="P135" s="17">
        <f>10*2</f>
        <v>20</v>
      </c>
      <c r="Q135" s="17"/>
      <c r="R135" s="17"/>
    </row>
    <row r="136" spans="1:18" ht="12.75" outlineLevel="1">
      <c r="A136" s="12"/>
      <c r="B136" s="64"/>
      <c r="C136" s="38" t="s">
        <v>118</v>
      </c>
      <c r="D136" s="81" t="s">
        <v>233</v>
      </c>
      <c r="E136" s="8">
        <f>SUM(G136:R136)</f>
        <v>40</v>
      </c>
      <c r="F136" s="31"/>
      <c r="G136" s="17">
        <f>5*2</f>
        <v>10</v>
      </c>
      <c r="H136" s="17"/>
      <c r="I136" s="17"/>
      <c r="J136" s="17">
        <f>5*2</f>
        <v>10</v>
      </c>
      <c r="K136" s="17"/>
      <c r="L136" s="17"/>
      <c r="M136" s="17">
        <f>5*2</f>
        <v>10</v>
      </c>
      <c r="N136" s="17"/>
      <c r="O136" s="17"/>
      <c r="P136" s="17">
        <f>5*2</f>
        <v>10</v>
      </c>
      <c r="Q136" s="17"/>
      <c r="R136" s="17"/>
    </row>
    <row r="137" spans="1:18" s="46" customFormat="1" ht="25.5" customHeight="1" outlineLevel="1">
      <c r="A137" s="119" t="s">
        <v>51</v>
      </c>
      <c r="B137" s="120"/>
      <c r="C137" s="118"/>
      <c r="D137" s="121"/>
      <c r="E137" s="32"/>
      <c r="F137" s="1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s="46" customFormat="1" ht="12.75" outlineLevel="1">
      <c r="A138" s="105"/>
      <c r="B138" s="106"/>
      <c r="C138" s="107" t="s">
        <v>51</v>
      </c>
      <c r="D138" s="81"/>
      <c r="E138" s="32">
        <f>SUM(G138:R138)</f>
        <v>0</v>
      </c>
      <c r="F138" s="32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25.5" customHeight="1" outlineLevel="1">
      <c r="A139" s="114" t="s">
        <v>56</v>
      </c>
      <c r="B139" s="115"/>
      <c r="C139" s="68"/>
      <c r="D139" s="116"/>
      <c r="E139" s="8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t="12.75" outlineLevel="1">
      <c r="A140" s="67"/>
      <c r="B140" s="68"/>
      <c r="C140" s="70" t="s">
        <v>100</v>
      </c>
      <c r="D140" s="110" t="s">
        <v>234</v>
      </c>
      <c r="E140" s="8">
        <f>SUM(G140:R140)</f>
        <v>480</v>
      </c>
      <c r="F140" s="16"/>
      <c r="G140" s="17">
        <f>20*2</f>
        <v>40</v>
      </c>
      <c r="H140" s="17">
        <f aca="true" t="shared" si="37" ref="H140:R140">20*2</f>
        <v>40</v>
      </c>
      <c r="I140" s="17">
        <f t="shared" si="37"/>
        <v>40</v>
      </c>
      <c r="J140" s="17">
        <f t="shared" si="37"/>
        <v>40</v>
      </c>
      <c r="K140" s="17">
        <f t="shared" si="37"/>
        <v>40</v>
      </c>
      <c r="L140" s="17">
        <f t="shared" si="37"/>
        <v>40</v>
      </c>
      <c r="M140" s="17">
        <f t="shared" si="37"/>
        <v>40</v>
      </c>
      <c r="N140" s="17">
        <f t="shared" si="37"/>
        <v>40</v>
      </c>
      <c r="O140" s="17">
        <f t="shared" si="37"/>
        <v>40</v>
      </c>
      <c r="P140" s="17">
        <f t="shared" si="37"/>
        <v>40</v>
      </c>
      <c r="Q140" s="17">
        <f t="shared" si="37"/>
        <v>40</v>
      </c>
      <c r="R140" s="17">
        <f t="shared" si="37"/>
        <v>40</v>
      </c>
    </row>
    <row r="141" spans="1:18" ht="12.75" outlineLevel="1">
      <c r="A141" s="67"/>
      <c r="B141" s="68"/>
      <c r="C141" s="29" t="s">
        <v>43</v>
      </c>
      <c r="D141" s="81" t="s">
        <v>235</v>
      </c>
      <c r="E141" s="8">
        <f>SUM(G141:R141)</f>
        <v>360</v>
      </c>
      <c r="F141" s="16"/>
      <c r="G141" s="17">
        <f>15*2</f>
        <v>30</v>
      </c>
      <c r="H141" s="17">
        <f aca="true" t="shared" si="38" ref="H141:R141">15*2</f>
        <v>30</v>
      </c>
      <c r="I141" s="17">
        <f t="shared" si="38"/>
        <v>30</v>
      </c>
      <c r="J141" s="17">
        <f t="shared" si="38"/>
        <v>30</v>
      </c>
      <c r="K141" s="17">
        <f t="shared" si="38"/>
        <v>30</v>
      </c>
      <c r="L141" s="17">
        <f t="shared" si="38"/>
        <v>30</v>
      </c>
      <c r="M141" s="17">
        <f t="shared" si="38"/>
        <v>30</v>
      </c>
      <c r="N141" s="17">
        <f t="shared" si="38"/>
        <v>30</v>
      </c>
      <c r="O141" s="17">
        <f t="shared" si="38"/>
        <v>30</v>
      </c>
      <c r="P141" s="17">
        <f t="shared" si="38"/>
        <v>30</v>
      </c>
      <c r="Q141" s="17">
        <f t="shared" si="38"/>
        <v>30</v>
      </c>
      <c r="R141" s="17">
        <f t="shared" si="38"/>
        <v>30</v>
      </c>
    </row>
    <row r="142" spans="1:18" ht="12.75" outlineLevel="1">
      <c r="A142" s="67"/>
      <c r="B142" s="68"/>
      <c r="C142" s="29" t="s">
        <v>128</v>
      </c>
      <c r="D142" s="81" t="s">
        <v>236</v>
      </c>
      <c r="E142" s="8">
        <f>SUM(G142:R142)</f>
        <v>288</v>
      </c>
      <c r="F142" s="16"/>
      <c r="G142" s="17">
        <f>12*2</f>
        <v>24</v>
      </c>
      <c r="H142" s="17">
        <f aca="true" t="shared" si="39" ref="H142:R142">12*2</f>
        <v>24</v>
      </c>
      <c r="I142" s="17">
        <f t="shared" si="39"/>
        <v>24</v>
      </c>
      <c r="J142" s="17">
        <f t="shared" si="39"/>
        <v>24</v>
      </c>
      <c r="K142" s="17">
        <f t="shared" si="39"/>
        <v>24</v>
      </c>
      <c r="L142" s="17">
        <f t="shared" si="39"/>
        <v>24</v>
      </c>
      <c r="M142" s="17">
        <f t="shared" si="39"/>
        <v>24</v>
      </c>
      <c r="N142" s="17">
        <f t="shared" si="39"/>
        <v>24</v>
      </c>
      <c r="O142" s="17">
        <f t="shared" si="39"/>
        <v>24</v>
      </c>
      <c r="P142" s="17">
        <f t="shared" si="39"/>
        <v>24</v>
      </c>
      <c r="Q142" s="17">
        <f t="shared" si="39"/>
        <v>24</v>
      </c>
      <c r="R142" s="17">
        <f t="shared" si="39"/>
        <v>24</v>
      </c>
    </row>
    <row r="143" spans="1:18" ht="12.75" outlineLevel="1">
      <c r="A143" s="67"/>
      <c r="B143" s="68"/>
      <c r="C143" s="70" t="s">
        <v>58</v>
      </c>
      <c r="D143" s="110" t="s">
        <v>237</v>
      </c>
      <c r="E143" s="8">
        <f>SUM(G143:R143)</f>
        <v>120</v>
      </c>
      <c r="F143" s="16"/>
      <c r="G143" s="17">
        <f>15*2</f>
        <v>30</v>
      </c>
      <c r="H143" s="17"/>
      <c r="I143" s="17"/>
      <c r="J143" s="17">
        <f>15*2</f>
        <v>30</v>
      </c>
      <c r="K143" s="17"/>
      <c r="L143" s="17"/>
      <c r="M143" s="17">
        <f>15*2</f>
        <v>30</v>
      </c>
      <c r="N143" s="17"/>
      <c r="O143" s="17"/>
      <c r="P143" s="17">
        <f>15*2</f>
        <v>30</v>
      </c>
      <c r="Q143" s="17"/>
      <c r="R143" s="17"/>
    </row>
    <row r="144" spans="1:18" ht="12.75" outlineLevel="1">
      <c r="A144" s="67"/>
      <c r="B144" s="68"/>
      <c r="C144" s="70" t="s">
        <v>3</v>
      </c>
      <c r="D144" s="110" t="s">
        <v>238</v>
      </c>
      <c r="E144" s="8">
        <f>SUM(G144:R144)</f>
        <v>120</v>
      </c>
      <c r="F144" s="16"/>
      <c r="G144" s="17">
        <f>10*2</f>
        <v>20</v>
      </c>
      <c r="H144" s="17"/>
      <c r="I144" s="17">
        <f>10*2</f>
        <v>20</v>
      </c>
      <c r="J144" s="17"/>
      <c r="K144" s="17">
        <f>10*2</f>
        <v>20</v>
      </c>
      <c r="L144" s="17"/>
      <c r="M144" s="17">
        <f>10*2</f>
        <v>20</v>
      </c>
      <c r="N144" s="17"/>
      <c r="O144" s="17">
        <f>10*2</f>
        <v>20</v>
      </c>
      <c r="P144" s="17"/>
      <c r="Q144" s="17">
        <f>10*2</f>
        <v>20</v>
      </c>
      <c r="R144" s="17"/>
    </row>
    <row r="145" spans="1:18" ht="25.5" customHeight="1" outlineLevel="1">
      <c r="A145" s="13" t="s">
        <v>86</v>
      </c>
      <c r="B145" s="63"/>
      <c r="C145" s="28"/>
      <c r="D145" s="28"/>
      <c r="E145" s="8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ht="12.75" outlineLevel="1">
      <c r="A146" s="37"/>
      <c r="B146" s="1"/>
      <c r="C146" s="38" t="s">
        <v>87</v>
      </c>
      <c r="D146" s="110"/>
      <c r="E146" s="8">
        <f>SUM(G146:R146)</f>
        <v>0</v>
      </c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ht="12.75" outlineLevel="1">
      <c r="A147" s="37"/>
      <c r="B147" s="1"/>
      <c r="C147" s="38" t="s">
        <v>88</v>
      </c>
      <c r="D147" s="110"/>
      <c r="E147" s="8">
        <f>SUM(G147:R147)</f>
        <v>0</v>
      </c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ht="25.5" customHeight="1" outlineLevel="1">
      <c r="A148" s="114" t="s">
        <v>54</v>
      </c>
      <c r="B148" s="115"/>
      <c r="C148" s="68"/>
      <c r="D148" s="116"/>
      <c r="E148" s="8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ht="12.75" outlineLevel="1">
      <c r="A149" s="67"/>
      <c r="B149" s="68"/>
      <c r="C149" s="69" t="s">
        <v>46</v>
      </c>
      <c r="D149" s="110" t="s">
        <v>283</v>
      </c>
      <c r="E149" s="8">
        <f>SUM(G149:R149)</f>
        <v>420</v>
      </c>
      <c r="F149" s="16"/>
      <c r="G149" s="17">
        <f>15*2+5</f>
        <v>35</v>
      </c>
      <c r="H149" s="17">
        <f aca="true" t="shared" si="40" ref="H149:R149">15*2+5</f>
        <v>35</v>
      </c>
      <c r="I149" s="17">
        <f t="shared" si="40"/>
        <v>35</v>
      </c>
      <c r="J149" s="17">
        <f t="shared" si="40"/>
        <v>35</v>
      </c>
      <c r="K149" s="17">
        <f t="shared" si="40"/>
        <v>35</v>
      </c>
      <c r="L149" s="17">
        <f t="shared" si="40"/>
        <v>35</v>
      </c>
      <c r="M149" s="17">
        <f t="shared" si="40"/>
        <v>35</v>
      </c>
      <c r="N149" s="17">
        <f t="shared" si="40"/>
        <v>35</v>
      </c>
      <c r="O149" s="17">
        <f t="shared" si="40"/>
        <v>35</v>
      </c>
      <c r="P149" s="17">
        <f t="shared" si="40"/>
        <v>35</v>
      </c>
      <c r="Q149" s="17">
        <f t="shared" si="40"/>
        <v>35</v>
      </c>
      <c r="R149" s="17">
        <f t="shared" si="40"/>
        <v>35</v>
      </c>
    </row>
    <row r="150" spans="1:18" ht="12.75" outlineLevel="1">
      <c r="A150" s="67"/>
      <c r="B150" s="68"/>
      <c r="C150" s="70" t="s">
        <v>61</v>
      </c>
      <c r="D150" s="111" t="s">
        <v>239</v>
      </c>
      <c r="E150" s="32">
        <f>SUM(G150:R150)</f>
        <v>240</v>
      </c>
      <c r="F150" s="16"/>
      <c r="G150" s="17">
        <f>10*2</f>
        <v>20</v>
      </c>
      <c r="H150" s="17">
        <f aca="true" t="shared" si="41" ref="H150:R150">10*2</f>
        <v>20</v>
      </c>
      <c r="I150" s="17">
        <f t="shared" si="41"/>
        <v>20</v>
      </c>
      <c r="J150" s="17">
        <f t="shared" si="41"/>
        <v>20</v>
      </c>
      <c r="K150" s="17">
        <f t="shared" si="41"/>
        <v>20</v>
      </c>
      <c r="L150" s="17">
        <f t="shared" si="41"/>
        <v>20</v>
      </c>
      <c r="M150" s="17">
        <f t="shared" si="41"/>
        <v>20</v>
      </c>
      <c r="N150" s="17">
        <f t="shared" si="41"/>
        <v>20</v>
      </c>
      <c r="O150" s="17">
        <f t="shared" si="41"/>
        <v>20</v>
      </c>
      <c r="P150" s="17">
        <f t="shared" si="41"/>
        <v>20</v>
      </c>
      <c r="Q150" s="17">
        <f t="shared" si="41"/>
        <v>20</v>
      </c>
      <c r="R150" s="17">
        <f t="shared" si="41"/>
        <v>20</v>
      </c>
    </row>
    <row r="151" spans="1:18" ht="25.5" customHeight="1" outlineLevel="1">
      <c r="A151" s="30" t="s">
        <v>57</v>
      </c>
      <c r="B151" s="30"/>
      <c r="C151" s="1"/>
      <c r="D151" s="57"/>
      <c r="E151" s="8">
        <f>SUM(G151:R151)</f>
        <v>50</v>
      </c>
      <c r="F151" s="16"/>
      <c r="G151" s="17">
        <v>50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ht="25.5" customHeight="1" outlineLevel="1">
      <c r="A152" s="13" t="s">
        <v>74</v>
      </c>
      <c r="B152" s="63"/>
      <c r="C152" s="4"/>
      <c r="D152" s="111" t="s">
        <v>201</v>
      </c>
      <c r="E152" s="8">
        <f>SUM(G152:R152)</f>
        <v>240</v>
      </c>
      <c r="F152" s="16"/>
      <c r="G152" s="17">
        <v>20</v>
      </c>
      <c r="H152" s="17">
        <v>20</v>
      </c>
      <c r="I152" s="17">
        <v>20</v>
      </c>
      <c r="J152" s="17">
        <v>20</v>
      </c>
      <c r="K152" s="17">
        <v>20</v>
      </c>
      <c r="L152" s="17">
        <v>20</v>
      </c>
      <c r="M152" s="17">
        <v>20</v>
      </c>
      <c r="N152" s="17">
        <v>20</v>
      </c>
      <c r="O152" s="17">
        <v>20</v>
      </c>
      <c r="P152" s="17">
        <v>20</v>
      </c>
      <c r="Q152" s="17">
        <v>20</v>
      </c>
      <c r="R152" s="17">
        <v>20</v>
      </c>
    </row>
    <row r="153" spans="1:18" ht="25.5" customHeight="1" outlineLevel="1" thickBot="1">
      <c r="A153" s="30" t="s">
        <v>81</v>
      </c>
      <c r="B153" s="30"/>
      <c r="C153" s="1"/>
      <c r="D153" s="111"/>
      <c r="E153" s="8">
        <f>SUM(G153:R153)</f>
        <v>2447.1364999999996</v>
      </c>
      <c r="F153" s="16"/>
      <c r="G153" s="17">
        <f aca="true" t="shared" si="42" ref="G153:R153">SUM(G9:G152)*2%</f>
        <v>659.5518522727273</v>
      </c>
      <c r="H153" s="17">
        <f t="shared" si="42"/>
        <v>126.16572727272728</v>
      </c>
      <c r="I153" s="17">
        <f t="shared" si="42"/>
        <v>126.39372727272726</v>
      </c>
      <c r="J153" s="17">
        <f t="shared" si="42"/>
        <v>201.16572727272728</v>
      </c>
      <c r="K153" s="17">
        <f t="shared" si="42"/>
        <v>126.39372727272726</v>
      </c>
      <c r="L153" s="17">
        <f t="shared" si="42"/>
        <v>133.66572727272728</v>
      </c>
      <c r="M153" s="17">
        <f t="shared" si="42"/>
        <v>197.99372727272726</v>
      </c>
      <c r="N153" s="17">
        <f t="shared" si="42"/>
        <v>129.96572727272726</v>
      </c>
      <c r="O153" s="17">
        <f t="shared" si="42"/>
        <v>210.592375</v>
      </c>
      <c r="P153" s="17">
        <f t="shared" si="42"/>
        <v>243.33772727272728</v>
      </c>
      <c r="Q153" s="17">
        <f t="shared" si="42"/>
        <v>138.53272727272727</v>
      </c>
      <c r="R153" s="17">
        <f t="shared" si="42"/>
        <v>153.37772727272727</v>
      </c>
    </row>
    <row r="154" spans="1:18" s="62" customFormat="1" ht="26.25" customHeight="1">
      <c r="A154" s="59" t="s">
        <v>184</v>
      </c>
      <c r="B154" s="66"/>
      <c r="C154" s="60"/>
      <c r="D154" s="60"/>
      <c r="E154" s="61">
        <f>SUM(E10:F153)</f>
        <v>124803.9615</v>
      </c>
      <c r="F154" s="61"/>
      <c r="G154" s="61">
        <f aca="true" t="shared" si="43" ref="G154:R154">SUM(G7:G153)</f>
        <v>33637.14446590909</v>
      </c>
      <c r="H154" s="61">
        <f t="shared" si="43"/>
        <v>6434.452090909091</v>
      </c>
      <c r="I154" s="61">
        <f t="shared" si="43"/>
        <v>6446.08009090909</v>
      </c>
      <c r="J154" s="61">
        <f t="shared" si="43"/>
        <v>10259.452090909092</v>
      </c>
      <c r="K154" s="61">
        <f t="shared" si="43"/>
        <v>6446.08009090909</v>
      </c>
      <c r="L154" s="61">
        <f t="shared" si="43"/>
        <v>6816.952090909091</v>
      </c>
      <c r="M154" s="61">
        <f t="shared" si="43"/>
        <v>10097.68009090909</v>
      </c>
      <c r="N154" s="61">
        <f>SUM(N7:N153)</f>
        <v>6628.252090909091</v>
      </c>
      <c r="O154" s="61">
        <f t="shared" si="43"/>
        <v>10740.211125</v>
      </c>
      <c r="P154" s="61">
        <f t="shared" si="43"/>
        <v>12410.22409090909</v>
      </c>
      <c r="Q154" s="61">
        <f t="shared" si="43"/>
        <v>7065.169090909091</v>
      </c>
      <c r="R154" s="61">
        <f t="shared" si="43"/>
        <v>7822.2640909090915</v>
      </c>
    </row>
    <row r="156" spans="1:5" ht="12" hidden="1">
      <c r="A156" s="73"/>
      <c r="B156" s="76"/>
      <c r="C156" s="77" t="s">
        <v>109</v>
      </c>
      <c r="D156" s="74"/>
      <c r="E156" s="75" t="e">
        <f>SUM(#REF!)</f>
        <v>#REF!</v>
      </c>
    </row>
    <row r="157" spans="1:5" ht="12" hidden="1">
      <c r="A157" s="73"/>
      <c r="B157" s="76"/>
      <c r="C157" s="77" t="s">
        <v>123</v>
      </c>
      <c r="D157" s="74"/>
      <c r="E157" s="75">
        <v>432.77</v>
      </c>
    </row>
    <row r="158" spans="1:5" ht="12" hidden="1">
      <c r="A158" s="82"/>
      <c r="B158" s="83"/>
      <c r="C158" s="84" t="s">
        <v>122</v>
      </c>
      <c r="D158" s="85"/>
      <c r="E158" s="86" t="e">
        <f>SUM(E156:E157)</f>
        <v>#REF!</v>
      </c>
    </row>
  </sheetData>
  <sheetProtection/>
  <mergeCells count="5">
    <mergeCell ref="A6:C6"/>
    <mergeCell ref="A1:E1"/>
    <mergeCell ref="A2:E2"/>
    <mergeCell ref="A3:E3"/>
    <mergeCell ref="A4:E4"/>
  </mergeCells>
  <printOptions horizontalCentered="1"/>
  <pageMargins left="0.2" right="0.2" top="0.75" bottom="0.75" header="0.3" footer="0.3"/>
  <pageSetup orientation="landscape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5"/>
  <sheetViews>
    <sheetView workbookViewId="0" topLeftCell="A1">
      <pane ySplit="1" topLeftCell="BM29" activePane="bottomLeft" state="frozen"/>
      <selection pane="topLeft" activeCell="A1" sqref="A1"/>
      <selection pane="bottomLeft" activeCell="K47" activeCellId="3" sqref="K12 K24 K36 K47"/>
    </sheetView>
  </sheetViews>
  <sheetFormatPr defaultColWidth="9.00390625" defaultRowHeight="12.75"/>
  <cols>
    <col min="1" max="1" width="19.00390625" style="21" customWidth="1"/>
    <col min="2" max="2" width="8.00390625" style="21" customWidth="1"/>
    <col min="3" max="3" width="7.125" style="21" bestFit="1" customWidth="1"/>
    <col min="4" max="4" width="15.125" style="21" customWidth="1"/>
    <col min="5" max="5" width="14.375" style="21" customWidth="1"/>
    <col min="6" max="6" width="2.25390625" style="21" customWidth="1"/>
    <col min="7" max="7" width="26.375" style="21" customWidth="1"/>
    <col min="8" max="8" width="11.125" style="21" bestFit="1" customWidth="1"/>
    <col min="9" max="9" width="11.00390625" style="21" bestFit="1" customWidth="1"/>
    <col min="10" max="10" width="15.00390625" style="21" customWidth="1"/>
    <col min="11" max="11" width="15.25390625" style="21" bestFit="1" customWidth="1"/>
    <col min="12" max="16384" width="9.00390625" style="21" customWidth="1"/>
  </cols>
  <sheetData>
    <row r="1" ht="23.25">
      <c r="A1" s="26" t="s">
        <v>75</v>
      </c>
    </row>
    <row r="2" ht="12.75"/>
    <row r="3" spans="1:11" ht="12.75">
      <c r="A3" s="18" t="s">
        <v>168</v>
      </c>
      <c r="B3"/>
      <c r="C3" s="47"/>
      <c r="D3"/>
      <c r="E3"/>
      <c r="G3" s="18" t="s">
        <v>197</v>
      </c>
      <c r="H3" s="56"/>
      <c r="I3" s="47"/>
      <c r="J3">
        <v>26</v>
      </c>
      <c r="K3" s="21" t="s">
        <v>34</v>
      </c>
    </row>
    <row r="4" spans="1:11" ht="12.75">
      <c r="A4" s="34"/>
      <c r="B4" s="19" t="s">
        <v>62</v>
      </c>
      <c r="C4" s="20" t="s">
        <v>63</v>
      </c>
      <c r="D4" s="19" t="s">
        <v>69</v>
      </c>
      <c r="E4" s="19" t="s">
        <v>24</v>
      </c>
      <c r="G4" s="34"/>
      <c r="H4" s="19" t="s">
        <v>62</v>
      </c>
      <c r="I4" s="20" t="s">
        <v>63</v>
      </c>
      <c r="J4" s="19" t="s">
        <v>35</v>
      </c>
      <c r="K4" s="19" t="s">
        <v>24</v>
      </c>
    </row>
    <row r="5" spans="1:11" ht="12.75">
      <c r="A5" s="19" t="s">
        <v>25</v>
      </c>
      <c r="B5" s="19">
        <v>5000</v>
      </c>
      <c r="C5" s="20">
        <f aca="true" t="shared" si="0" ref="C5:C10">B5/4000</f>
        <v>1.25</v>
      </c>
      <c r="D5" s="19">
        <v>1</v>
      </c>
      <c r="E5" s="19">
        <f aca="true" t="shared" si="1" ref="E5:E10">(C5*D5)</f>
        <v>1.25</v>
      </c>
      <c r="G5" s="19" t="s">
        <v>36</v>
      </c>
      <c r="H5" s="19">
        <v>5500</v>
      </c>
      <c r="I5" s="20">
        <f aca="true" t="shared" si="2" ref="I5:I10">H5/4000</f>
        <v>1.375</v>
      </c>
      <c r="J5" s="19">
        <v>1</v>
      </c>
      <c r="K5" s="20">
        <f>(I5*J5)</f>
        <v>1.375</v>
      </c>
    </row>
    <row r="6" spans="1:11" ht="12.75">
      <c r="A6" s="19" t="s">
        <v>26</v>
      </c>
      <c r="B6" s="19">
        <v>1500</v>
      </c>
      <c r="C6" s="20">
        <f t="shared" si="0"/>
        <v>0.375</v>
      </c>
      <c r="D6" s="19">
        <v>4</v>
      </c>
      <c r="E6" s="19">
        <f t="shared" si="1"/>
        <v>1.5</v>
      </c>
      <c r="G6" s="19" t="s">
        <v>37</v>
      </c>
      <c r="H6" s="19">
        <v>14000</v>
      </c>
      <c r="I6" s="20">
        <f t="shared" si="2"/>
        <v>3.5</v>
      </c>
      <c r="J6" s="22">
        <f>14/J3</f>
        <v>0.5384615384615384</v>
      </c>
      <c r="K6" s="20">
        <f>(I6*J6)</f>
        <v>1.8846153846153846</v>
      </c>
    </row>
    <row r="7" spans="1:11" ht="12.75">
      <c r="A7" s="19" t="s">
        <v>27</v>
      </c>
      <c r="B7" s="19">
        <v>1000</v>
      </c>
      <c r="C7" s="20">
        <f t="shared" si="0"/>
        <v>0.25</v>
      </c>
      <c r="D7" s="19">
        <v>6</v>
      </c>
      <c r="E7" s="19">
        <f t="shared" si="1"/>
        <v>1.5</v>
      </c>
      <c r="G7" s="19" t="s">
        <v>38</v>
      </c>
      <c r="H7" s="19">
        <v>10000</v>
      </c>
      <c r="I7" s="20">
        <f t="shared" si="2"/>
        <v>2.5</v>
      </c>
      <c r="J7" s="22">
        <f>6/J3</f>
        <v>0.23076923076923078</v>
      </c>
      <c r="K7" s="20">
        <f>(I7*J7)</f>
        <v>0.576923076923077</v>
      </c>
    </row>
    <row r="8" spans="1:11" ht="12.75">
      <c r="A8" s="19" t="s">
        <v>28</v>
      </c>
      <c r="B8" s="19">
        <v>1000</v>
      </c>
      <c r="C8" s="20">
        <f t="shared" si="0"/>
        <v>0.25</v>
      </c>
      <c r="D8" s="19">
        <v>6</v>
      </c>
      <c r="E8" s="19">
        <f t="shared" si="1"/>
        <v>1.5</v>
      </c>
      <c r="G8" s="19" t="s">
        <v>39</v>
      </c>
      <c r="H8" s="19">
        <v>1500</v>
      </c>
      <c r="I8" s="20">
        <f t="shared" si="2"/>
        <v>0.375</v>
      </c>
      <c r="J8" s="19">
        <v>6</v>
      </c>
      <c r="K8" s="20">
        <f>(I8*J8)</f>
        <v>2.25</v>
      </c>
    </row>
    <row r="9" spans="1:11" ht="12.75">
      <c r="A9" s="19" t="s">
        <v>29</v>
      </c>
      <c r="B9" s="19">
        <v>2000</v>
      </c>
      <c r="C9" s="48">
        <f t="shared" si="0"/>
        <v>0.5</v>
      </c>
      <c r="D9" s="19">
        <v>2</v>
      </c>
      <c r="E9" s="19">
        <f t="shared" si="1"/>
        <v>1</v>
      </c>
      <c r="G9" s="19" t="s">
        <v>40</v>
      </c>
      <c r="H9" s="19">
        <v>5500</v>
      </c>
      <c r="I9" s="20">
        <f t="shared" si="2"/>
        <v>1.375</v>
      </c>
      <c r="J9" s="22">
        <f>48/J3</f>
        <v>1.8461538461538463</v>
      </c>
      <c r="K9" s="20">
        <f>(I9*J9)</f>
        <v>2.5384615384615388</v>
      </c>
    </row>
    <row r="10" spans="1:11" ht="12.75">
      <c r="A10" s="19" t="s">
        <v>30</v>
      </c>
      <c r="B10" s="19">
        <v>4000</v>
      </c>
      <c r="C10" s="48">
        <f t="shared" si="0"/>
        <v>1</v>
      </c>
      <c r="D10" s="19">
        <v>2</v>
      </c>
      <c r="E10" s="19">
        <f t="shared" si="1"/>
        <v>2</v>
      </c>
      <c r="G10" s="34"/>
      <c r="H10" s="34"/>
      <c r="I10" s="20">
        <f t="shared" si="2"/>
        <v>0</v>
      </c>
      <c r="J10" s="34"/>
      <c r="K10" s="20"/>
    </row>
    <row r="11" spans="1:11" ht="12.75">
      <c r="A11" s="34"/>
      <c r="B11" s="34"/>
      <c r="C11" s="48"/>
      <c r="D11" s="34"/>
      <c r="E11" s="19"/>
      <c r="G11" s="19" t="s">
        <v>31</v>
      </c>
      <c r="H11" s="34"/>
      <c r="I11" s="48"/>
      <c r="J11" s="34"/>
      <c r="K11" s="20">
        <f>SUM(K5:K9)</f>
        <v>8.625</v>
      </c>
    </row>
    <row r="12" spans="1:11" ht="12.75">
      <c r="A12" s="19" t="s">
        <v>31</v>
      </c>
      <c r="B12" s="34"/>
      <c r="C12" s="48"/>
      <c r="D12" s="34"/>
      <c r="E12" s="19">
        <f>SUM(E5:E10)</f>
        <v>8.75</v>
      </c>
      <c r="G12" s="23" t="s">
        <v>41</v>
      </c>
      <c r="H12" s="19"/>
      <c r="I12" s="19"/>
      <c r="J12" s="19"/>
      <c r="K12" s="24">
        <f>(J3*K11)/12*9</f>
        <v>168.1875</v>
      </c>
    </row>
    <row r="13" spans="1:11" ht="12.75">
      <c r="A13"/>
      <c r="B13"/>
      <c r="C13" s="47"/>
      <c r="D13"/>
      <c r="E13"/>
      <c r="G13" s="49"/>
      <c r="H13" s="1"/>
      <c r="I13" s="47"/>
      <c r="J13"/>
      <c r="K13"/>
    </row>
    <row r="14" spans="1:11" ht="12.75">
      <c r="A14" s="108" t="s">
        <v>181</v>
      </c>
      <c r="B14" s="19" t="s">
        <v>32</v>
      </c>
      <c r="C14" s="47"/>
      <c r="D14"/>
      <c r="E14"/>
      <c r="G14"/>
      <c r="H14"/>
      <c r="I14" s="47"/>
      <c r="J14"/>
      <c r="K14"/>
    </row>
    <row r="15" spans="1:11" ht="12.75">
      <c r="A15" s="19" t="s">
        <v>33</v>
      </c>
      <c r="B15" s="34">
        <f>25+27</f>
        <v>52</v>
      </c>
      <c r="C15" s="47"/>
      <c r="D15"/>
      <c r="E15"/>
      <c r="G15" s="18" t="s">
        <v>199</v>
      </c>
      <c r="H15"/>
      <c r="I15" s="47"/>
      <c r="J15">
        <v>25</v>
      </c>
      <c r="K15" s="21" t="s">
        <v>34</v>
      </c>
    </row>
    <row r="16" spans="1:11" ht="12.75">
      <c r="A16" s="1"/>
      <c r="B16" s="49"/>
      <c r="C16" s="47"/>
      <c r="D16"/>
      <c r="E16"/>
      <c r="G16" s="34"/>
      <c r="H16" s="19" t="s">
        <v>62</v>
      </c>
      <c r="I16" s="20" t="s">
        <v>63</v>
      </c>
      <c r="J16" s="19" t="s">
        <v>35</v>
      </c>
      <c r="K16" s="19" t="s">
        <v>24</v>
      </c>
    </row>
    <row r="17" spans="7:11" ht="12.75">
      <c r="G17" s="19" t="s">
        <v>36</v>
      </c>
      <c r="H17" s="19">
        <v>5500</v>
      </c>
      <c r="I17" s="20">
        <f aca="true" t="shared" si="3" ref="I17:I22">H17/4000</f>
        <v>1.375</v>
      </c>
      <c r="J17" s="19">
        <v>1</v>
      </c>
      <c r="K17" s="20">
        <f>(I17*J17)</f>
        <v>1.375</v>
      </c>
    </row>
    <row r="18" spans="7:11" ht="12.75">
      <c r="G18" s="19" t="s">
        <v>37</v>
      </c>
      <c r="H18" s="19">
        <v>14000</v>
      </c>
      <c r="I18" s="20">
        <f t="shared" si="3"/>
        <v>3.5</v>
      </c>
      <c r="J18" s="22">
        <f>14/J15</f>
        <v>0.56</v>
      </c>
      <c r="K18" s="20">
        <f>(I18*J18)</f>
        <v>1.9600000000000002</v>
      </c>
    </row>
    <row r="19" spans="1:11" ht="12.75">
      <c r="A19" s="18" t="s">
        <v>169</v>
      </c>
      <c r="B19"/>
      <c r="C19" s="47"/>
      <c r="D19" s="72">
        <f>16+16</f>
        <v>32</v>
      </c>
      <c r="E19" s="21" t="s">
        <v>70</v>
      </c>
      <c r="G19" s="19" t="s">
        <v>38</v>
      </c>
      <c r="H19" s="19">
        <v>10000</v>
      </c>
      <c r="I19" s="20">
        <f t="shared" si="3"/>
        <v>2.5</v>
      </c>
      <c r="J19" s="22">
        <f>6/J15</f>
        <v>0.24</v>
      </c>
      <c r="K19" s="20">
        <f>(I19*J19)</f>
        <v>0.6</v>
      </c>
    </row>
    <row r="20" spans="1:11" ht="25.5">
      <c r="A20" s="34"/>
      <c r="B20" s="53" t="s">
        <v>62</v>
      </c>
      <c r="C20" s="53" t="s">
        <v>63</v>
      </c>
      <c r="D20" s="53" t="s">
        <v>69</v>
      </c>
      <c r="E20" s="53" t="s">
        <v>24</v>
      </c>
      <c r="G20" s="19" t="s">
        <v>39</v>
      </c>
      <c r="H20" s="19">
        <v>1500</v>
      </c>
      <c r="I20" s="20">
        <f t="shared" si="3"/>
        <v>0.375</v>
      </c>
      <c r="J20" s="19">
        <v>6</v>
      </c>
      <c r="K20" s="20">
        <f>(I20*J20)</f>
        <v>2.25</v>
      </c>
    </row>
    <row r="21" spans="1:11" ht="12.75">
      <c r="A21" s="19" t="s">
        <v>25</v>
      </c>
      <c r="B21" s="19">
        <v>5000</v>
      </c>
      <c r="C21" s="20">
        <f aca="true" t="shared" si="4" ref="C21:C26">B21/4000</f>
        <v>1.25</v>
      </c>
      <c r="D21" s="19">
        <v>3</v>
      </c>
      <c r="E21" s="20">
        <f aca="true" t="shared" si="5" ref="E21:E26">(C21*D21)</f>
        <v>3.75</v>
      </c>
      <c r="G21" s="19" t="s">
        <v>40</v>
      </c>
      <c r="H21" s="19">
        <v>5500</v>
      </c>
      <c r="I21" s="20">
        <f t="shared" si="3"/>
        <v>1.375</v>
      </c>
      <c r="J21" s="22">
        <f>48/J15</f>
        <v>1.92</v>
      </c>
      <c r="K21" s="20">
        <f>(I21*J21)</f>
        <v>2.6399999999999997</v>
      </c>
    </row>
    <row r="22" spans="1:11" ht="12.75">
      <c r="A22" s="19" t="s">
        <v>26</v>
      </c>
      <c r="B22" s="19">
        <v>1500</v>
      </c>
      <c r="C22" s="20">
        <f t="shared" si="4"/>
        <v>0.375</v>
      </c>
      <c r="D22" s="19">
        <v>12</v>
      </c>
      <c r="E22" s="20">
        <f t="shared" si="5"/>
        <v>4.5</v>
      </c>
      <c r="G22" s="34"/>
      <c r="H22" s="34"/>
      <c r="I22" s="20">
        <f t="shared" si="3"/>
        <v>0</v>
      </c>
      <c r="J22" s="34"/>
      <c r="K22" s="20"/>
    </row>
    <row r="23" spans="1:11" ht="12.75">
      <c r="A23" s="19" t="s">
        <v>27</v>
      </c>
      <c r="B23" s="19">
        <v>1000</v>
      </c>
      <c r="C23" s="20">
        <f t="shared" si="4"/>
        <v>0.25</v>
      </c>
      <c r="D23" s="19">
        <v>6</v>
      </c>
      <c r="E23" s="20">
        <f t="shared" si="5"/>
        <v>1.5</v>
      </c>
      <c r="G23" s="19" t="s">
        <v>31</v>
      </c>
      <c r="H23" s="34"/>
      <c r="I23" s="48"/>
      <c r="J23" s="34"/>
      <c r="K23" s="20">
        <f>SUM(K17:K21)</f>
        <v>8.825</v>
      </c>
    </row>
    <row r="24" spans="1:11" ht="12.75">
      <c r="A24" s="19" t="s">
        <v>28</v>
      </c>
      <c r="B24" s="19">
        <v>1000</v>
      </c>
      <c r="C24" s="20">
        <f t="shared" si="4"/>
        <v>0.25</v>
      </c>
      <c r="D24" s="19">
        <v>6</v>
      </c>
      <c r="E24" s="20">
        <f t="shared" si="5"/>
        <v>1.5</v>
      </c>
      <c r="G24" s="23" t="s">
        <v>41</v>
      </c>
      <c r="H24" s="19"/>
      <c r="I24" s="19"/>
      <c r="J24" s="19"/>
      <c r="K24" s="24">
        <f>(J15*K23)/12*3</f>
        <v>55.15624999999999</v>
      </c>
    </row>
    <row r="25" spans="1:11" ht="12.75">
      <c r="A25" s="19" t="s">
        <v>71</v>
      </c>
      <c r="B25" s="19">
        <v>500</v>
      </c>
      <c r="C25" s="48">
        <f t="shared" si="4"/>
        <v>0.125</v>
      </c>
      <c r="D25" s="19">
        <v>12</v>
      </c>
      <c r="E25" s="20">
        <f t="shared" si="5"/>
        <v>1.5</v>
      </c>
      <c r="G25" s="6"/>
      <c r="H25" s="1"/>
      <c r="I25" s="1"/>
      <c r="J25" s="1"/>
      <c r="K25" s="113"/>
    </row>
    <row r="26" spans="1:11" ht="12.75">
      <c r="A26" s="19" t="s">
        <v>30</v>
      </c>
      <c r="B26" s="19">
        <v>4000</v>
      </c>
      <c r="C26" s="48">
        <f t="shared" si="4"/>
        <v>1</v>
      </c>
      <c r="D26" s="19">
        <v>2</v>
      </c>
      <c r="E26" s="20">
        <f t="shared" si="5"/>
        <v>2</v>
      </c>
      <c r="G26" s="6"/>
      <c r="H26" s="1"/>
      <c r="I26" s="1"/>
      <c r="J26" s="1"/>
      <c r="K26" s="113"/>
    </row>
    <row r="27" spans="1:11" ht="12.75">
      <c r="A27" s="34"/>
      <c r="B27" s="34"/>
      <c r="C27" s="48"/>
      <c r="D27" s="34"/>
      <c r="E27" s="48"/>
      <c r="G27" s="18" t="s">
        <v>198</v>
      </c>
      <c r="H27" s="56"/>
      <c r="I27" s="47"/>
      <c r="J27">
        <v>27</v>
      </c>
      <c r="K27" s="21" t="s">
        <v>34</v>
      </c>
    </row>
    <row r="28" spans="1:11" ht="12.75">
      <c r="A28" s="19" t="s">
        <v>31</v>
      </c>
      <c r="B28" s="34"/>
      <c r="C28" s="48"/>
      <c r="D28" s="34"/>
      <c r="E28" s="48">
        <f>SUM(E21:E26)</f>
        <v>14.75</v>
      </c>
      <c r="G28" s="34"/>
      <c r="H28" s="19" t="s">
        <v>62</v>
      </c>
      <c r="I28" s="20" t="s">
        <v>63</v>
      </c>
      <c r="J28" s="19" t="s">
        <v>35</v>
      </c>
      <c r="K28" s="19" t="s">
        <v>24</v>
      </c>
    </row>
    <row r="29" spans="1:13" ht="12.75">
      <c r="A29" s="23" t="s">
        <v>41</v>
      </c>
      <c r="B29" s="19"/>
      <c r="C29" s="19"/>
      <c r="D29" s="19"/>
      <c r="E29" s="24">
        <f>E28*D19</f>
        <v>472</v>
      </c>
      <c r="G29" s="19" t="s">
        <v>36</v>
      </c>
      <c r="H29" s="19">
        <v>5500</v>
      </c>
      <c r="I29" s="20">
        <f aca="true" t="shared" si="6" ref="I29:I34">H29/4000</f>
        <v>1.375</v>
      </c>
      <c r="J29" s="19">
        <v>1</v>
      </c>
      <c r="K29" s="20">
        <f>(I29*J29)</f>
        <v>1.375</v>
      </c>
      <c r="L29"/>
      <c r="M29"/>
    </row>
    <row r="30" spans="1:13" ht="12.75">
      <c r="A30"/>
      <c r="B30"/>
      <c r="C30"/>
      <c r="D30"/>
      <c r="E30"/>
      <c r="G30" s="19" t="s">
        <v>37</v>
      </c>
      <c r="H30" s="19">
        <v>14000</v>
      </c>
      <c r="I30" s="20">
        <f t="shared" si="6"/>
        <v>3.5</v>
      </c>
      <c r="J30" s="22">
        <f>14/J27</f>
        <v>0.5185185185185185</v>
      </c>
      <c r="K30" s="20">
        <f>(I30*J30)</f>
        <v>1.8148148148148147</v>
      </c>
      <c r="L30"/>
      <c r="M30"/>
    </row>
    <row r="31" spans="1:13" ht="12.75">
      <c r="A31"/>
      <c r="B31"/>
      <c r="C31"/>
      <c r="D31"/>
      <c r="E31"/>
      <c r="G31" s="19" t="s">
        <v>38</v>
      </c>
      <c r="H31" s="19">
        <v>10000</v>
      </c>
      <c r="I31" s="20">
        <f t="shared" si="6"/>
        <v>2.5</v>
      </c>
      <c r="J31" s="22">
        <f>6/J27</f>
        <v>0.2222222222222222</v>
      </c>
      <c r="K31" s="20">
        <f>(I31*J31)</f>
        <v>0.5555555555555556</v>
      </c>
      <c r="L31"/>
      <c r="M31" s="47"/>
    </row>
    <row r="32" spans="1:13" ht="12.75">
      <c r="A32" s="18" t="s">
        <v>171</v>
      </c>
      <c r="B32"/>
      <c r="C32" s="47"/>
      <c r="D32" s="72">
        <v>12</v>
      </c>
      <c r="E32" s="21" t="s">
        <v>70</v>
      </c>
      <c r="G32" s="19" t="s">
        <v>39</v>
      </c>
      <c r="H32" s="19">
        <v>1500</v>
      </c>
      <c r="I32" s="20">
        <f t="shared" si="6"/>
        <v>0.375</v>
      </c>
      <c r="J32" s="19">
        <v>6</v>
      </c>
      <c r="K32" s="20">
        <f>(I32*J32)</f>
        <v>2.25</v>
      </c>
      <c r="L32"/>
      <c r="M32" s="47"/>
    </row>
    <row r="33" spans="1:13" ht="25.5">
      <c r="A33" s="34"/>
      <c r="B33" s="53" t="s">
        <v>62</v>
      </c>
      <c r="C33" s="53" t="s">
        <v>63</v>
      </c>
      <c r="D33" s="53" t="s">
        <v>69</v>
      </c>
      <c r="E33" s="53" t="s">
        <v>24</v>
      </c>
      <c r="G33" s="19" t="s">
        <v>40</v>
      </c>
      <c r="H33" s="19">
        <v>5500</v>
      </c>
      <c r="I33" s="20">
        <f t="shared" si="6"/>
        <v>1.375</v>
      </c>
      <c r="J33" s="22">
        <f>48/J27</f>
        <v>1.7777777777777777</v>
      </c>
      <c r="K33" s="20">
        <f>(I33*J33)</f>
        <v>2.444444444444444</v>
      </c>
      <c r="L33"/>
      <c r="M33" s="47"/>
    </row>
    <row r="34" spans="1:13" ht="12.75">
      <c r="A34" s="19" t="s">
        <v>25</v>
      </c>
      <c r="B34" s="19">
        <v>5000</v>
      </c>
      <c r="C34" s="20">
        <f aca="true" t="shared" si="7" ref="C34:C39">B34/4000</f>
        <v>1.25</v>
      </c>
      <c r="D34" s="19">
        <v>3</v>
      </c>
      <c r="E34" s="54">
        <f aca="true" t="shared" si="8" ref="E34:E39">(C34*D34)</f>
        <v>3.75</v>
      </c>
      <c r="G34" s="34"/>
      <c r="H34" s="34"/>
      <c r="I34" s="20">
        <f t="shared" si="6"/>
        <v>0</v>
      </c>
      <c r="J34" s="34"/>
      <c r="K34" s="20"/>
      <c r="L34"/>
      <c r="M34" s="47"/>
    </row>
    <row r="35" spans="1:13" ht="12.75">
      <c r="A35" s="19" t="s">
        <v>26</v>
      </c>
      <c r="B35" s="19">
        <v>1500</v>
      </c>
      <c r="C35" s="20">
        <f t="shared" si="7"/>
        <v>0.375</v>
      </c>
      <c r="D35" s="19">
        <v>14</v>
      </c>
      <c r="E35" s="54">
        <f t="shared" si="8"/>
        <v>5.25</v>
      </c>
      <c r="G35" s="19" t="s">
        <v>31</v>
      </c>
      <c r="H35" s="34"/>
      <c r="I35" s="48"/>
      <c r="J35" s="34"/>
      <c r="K35" s="20">
        <f>SUM(K29:K33)</f>
        <v>8.439814814814815</v>
      </c>
      <c r="L35"/>
      <c r="M35" s="47"/>
    </row>
    <row r="36" spans="1:13" ht="12.75">
      <c r="A36" s="19" t="s">
        <v>27</v>
      </c>
      <c r="B36" s="19">
        <v>1000</v>
      </c>
      <c r="C36" s="20">
        <f t="shared" si="7"/>
        <v>0.25</v>
      </c>
      <c r="D36" s="19">
        <v>6</v>
      </c>
      <c r="E36" s="54">
        <f t="shared" si="8"/>
        <v>1.5</v>
      </c>
      <c r="G36" s="23" t="s">
        <v>41</v>
      </c>
      <c r="H36" s="19"/>
      <c r="I36" s="19"/>
      <c r="J36" s="19"/>
      <c r="K36" s="24">
        <f>(J27*K35)/12*9</f>
        <v>170.90625</v>
      </c>
      <c r="L36"/>
      <c r="M36" s="47"/>
    </row>
    <row r="37" spans="1:13" ht="12.75">
      <c r="A37" s="19" t="s">
        <v>28</v>
      </c>
      <c r="B37" s="19">
        <v>1000</v>
      </c>
      <c r="C37" s="20">
        <f t="shared" si="7"/>
        <v>0.25</v>
      </c>
      <c r="D37" s="19">
        <v>6</v>
      </c>
      <c r="E37" s="54">
        <f t="shared" si="8"/>
        <v>1.5</v>
      </c>
      <c r="G37"/>
      <c r="H37"/>
      <c r="I37" s="47"/>
      <c r="J37"/>
      <c r="K37" s="52"/>
      <c r="L37"/>
      <c r="M37"/>
    </row>
    <row r="38" spans="1:13" ht="12.75">
      <c r="A38" s="19" t="s">
        <v>71</v>
      </c>
      <c r="B38" s="19">
        <v>500</v>
      </c>
      <c r="C38" s="48">
        <f t="shared" si="7"/>
        <v>0.125</v>
      </c>
      <c r="D38" s="19">
        <v>14</v>
      </c>
      <c r="E38" s="54">
        <f t="shared" si="8"/>
        <v>1.75</v>
      </c>
      <c r="G38" s="18" t="s">
        <v>200</v>
      </c>
      <c r="H38"/>
      <c r="I38" s="47"/>
      <c r="J38">
        <v>27</v>
      </c>
      <c r="K38" s="21" t="s">
        <v>34</v>
      </c>
      <c r="L38"/>
      <c r="M38"/>
    </row>
    <row r="39" spans="1:13" ht="12.75">
      <c r="A39" s="19" t="s">
        <v>30</v>
      </c>
      <c r="B39" s="19">
        <v>4000</v>
      </c>
      <c r="C39" s="48">
        <f t="shared" si="7"/>
        <v>1</v>
      </c>
      <c r="D39" s="19">
        <v>2</v>
      </c>
      <c r="E39" s="54">
        <f t="shared" si="8"/>
        <v>2</v>
      </c>
      <c r="G39" s="34"/>
      <c r="H39" s="19" t="s">
        <v>62</v>
      </c>
      <c r="I39" s="20" t="s">
        <v>63</v>
      </c>
      <c r="J39" s="19" t="s">
        <v>35</v>
      </c>
      <c r="K39" s="19" t="s">
        <v>24</v>
      </c>
      <c r="L39"/>
      <c r="M39"/>
    </row>
    <row r="40" spans="1:13" ht="12.75">
      <c r="A40" s="34"/>
      <c r="B40" s="34"/>
      <c r="C40" s="48"/>
      <c r="D40" s="34"/>
      <c r="E40" s="55"/>
      <c r="G40" s="19" t="s">
        <v>36</v>
      </c>
      <c r="H40" s="19">
        <v>5500</v>
      </c>
      <c r="I40" s="20">
        <f aca="true" t="shared" si="9" ref="I40:I45">H40/4000</f>
        <v>1.375</v>
      </c>
      <c r="J40" s="19">
        <v>1</v>
      </c>
      <c r="K40" s="20">
        <f>(I40*J40)</f>
        <v>1.375</v>
      </c>
      <c r="L40"/>
      <c r="M40"/>
    </row>
    <row r="41" spans="1:13" ht="12.75">
      <c r="A41" s="19" t="s">
        <v>31</v>
      </c>
      <c r="B41" s="34"/>
      <c r="C41" s="48"/>
      <c r="D41" s="34"/>
      <c r="E41" s="55">
        <f>SUM(E34:E39)</f>
        <v>15.75</v>
      </c>
      <c r="G41" s="19" t="s">
        <v>37</v>
      </c>
      <c r="H41" s="19">
        <v>14000</v>
      </c>
      <c r="I41" s="20">
        <f t="shared" si="9"/>
        <v>3.5</v>
      </c>
      <c r="J41" s="22">
        <f>14/J38</f>
        <v>0.5185185185185185</v>
      </c>
      <c r="K41" s="20">
        <f>(I41*J41)</f>
        <v>1.8148148148148147</v>
      </c>
      <c r="L41"/>
      <c r="M41"/>
    </row>
    <row r="42" spans="1:13" ht="12.75">
      <c r="A42" s="23" t="s">
        <v>41</v>
      </c>
      <c r="B42" s="34"/>
      <c r="C42" s="34"/>
      <c r="D42" s="34"/>
      <c r="E42" s="109">
        <f>D32*E41</f>
        <v>189</v>
      </c>
      <c r="G42" s="19" t="s">
        <v>38</v>
      </c>
      <c r="H42" s="19">
        <v>10000</v>
      </c>
      <c r="I42" s="20">
        <f t="shared" si="9"/>
        <v>2.5</v>
      </c>
      <c r="J42" s="22">
        <f>6/J38</f>
        <v>0.2222222222222222</v>
      </c>
      <c r="K42" s="20">
        <f>(I42*J42)</f>
        <v>0.5555555555555556</v>
      </c>
      <c r="L42"/>
      <c r="M42"/>
    </row>
    <row r="43" spans="1:13" ht="12.75">
      <c r="A43"/>
      <c r="B43"/>
      <c r="C43"/>
      <c r="D43"/>
      <c r="E43"/>
      <c r="G43" s="19" t="s">
        <v>39</v>
      </c>
      <c r="H43" s="19">
        <v>1500</v>
      </c>
      <c r="I43" s="20">
        <f t="shared" si="9"/>
        <v>0.375</v>
      </c>
      <c r="J43" s="19">
        <v>6</v>
      </c>
      <c r="K43" s="20">
        <f>(I43*J43)</f>
        <v>2.25</v>
      </c>
      <c r="L43"/>
      <c r="M43"/>
    </row>
    <row r="44" spans="1:13" ht="12.75">
      <c r="A44"/>
      <c r="B44"/>
      <c r="C44"/>
      <c r="D44"/>
      <c r="G44" s="19" t="s">
        <v>40</v>
      </c>
      <c r="H44" s="19">
        <v>5500</v>
      </c>
      <c r="I44" s="20">
        <f t="shared" si="9"/>
        <v>1.375</v>
      </c>
      <c r="J44" s="22">
        <f>48/J38</f>
        <v>1.7777777777777777</v>
      </c>
      <c r="K44" s="20">
        <f>(I44*J44)</f>
        <v>2.444444444444444</v>
      </c>
      <c r="L44"/>
      <c r="M44" s="47"/>
    </row>
    <row r="45" spans="1:13" ht="12.75">
      <c r="A45"/>
      <c r="B45"/>
      <c r="C45"/>
      <c r="D45"/>
      <c r="E45"/>
      <c r="G45" s="34"/>
      <c r="H45" s="34"/>
      <c r="I45" s="20">
        <f t="shared" si="9"/>
        <v>0</v>
      </c>
      <c r="J45" s="34"/>
      <c r="K45" s="20"/>
      <c r="L45"/>
      <c r="M45" s="47"/>
    </row>
    <row r="46" spans="1:13" ht="12.75">
      <c r="A46" s="18" t="s">
        <v>170</v>
      </c>
      <c r="B46"/>
      <c r="C46" s="47"/>
      <c r="D46" s="72">
        <v>11</v>
      </c>
      <c r="E46" s="21" t="s">
        <v>70</v>
      </c>
      <c r="G46" s="19" t="s">
        <v>31</v>
      </c>
      <c r="H46" s="34"/>
      <c r="I46" s="48"/>
      <c r="J46" s="34"/>
      <c r="K46" s="20">
        <f>SUM(K40:K44)</f>
        <v>8.439814814814815</v>
      </c>
      <c r="L46"/>
      <c r="M46" s="47"/>
    </row>
    <row r="47" spans="1:13" ht="24">
      <c r="A47" s="34"/>
      <c r="B47" s="53" t="s">
        <v>62</v>
      </c>
      <c r="C47" s="53" t="s">
        <v>63</v>
      </c>
      <c r="D47" s="53" t="s">
        <v>69</v>
      </c>
      <c r="E47" s="53" t="s">
        <v>24</v>
      </c>
      <c r="G47" s="23" t="s">
        <v>41</v>
      </c>
      <c r="H47" s="19"/>
      <c r="I47" s="19"/>
      <c r="J47" s="19"/>
      <c r="K47" s="24">
        <f>(J38*K46)/12*3</f>
        <v>56.96875</v>
      </c>
      <c r="L47"/>
      <c r="M47" s="47"/>
    </row>
    <row r="48" spans="1:13" ht="12.75">
      <c r="A48" s="19" t="s">
        <v>25</v>
      </c>
      <c r="B48" s="19">
        <v>5000</v>
      </c>
      <c r="C48" s="20">
        <f aca="true" t="shared" si="10" ref="C48:C58">B48/4000</f>
        <v>1.25</v>
      </c>
      <c r="D48" s="19">
        <v>3</v>
      </c>
      <c r="E48" s="54">
        <f aca="true" t="shared" si="11" ref="E48:E58">(C48*D48)</f>
        <v>3.75</v>
      </c>
      <c r="M48" s="47"/>
    </row>
    <row r="49" spans="1:13" ht="12.75">
      <c r="A49" s="19" t="s">
        <v>26</v>
      </c>
      <c r="B49" s="19">
        <v>1500</v>
      </c>
      <c r="C49" s="20">
        <f t="shared" si="10"/>
        <v>0.375</v>
      </c>
      <c r="D49" s="19">
        <v>16</v>
      </c>
      <c r="E49" s="54">
        <f t="shared" si="11"/>
        <v>6</v>
      </c>
      <c r="L49"/>
      <c r="M49" s="47"/>
    </row>
    <row r="50" spans="1:13" ht="12.75">
      <c r="A50" s="19" t="s">
        <v>27</v>
      </c>
      <c r="B50" s="19">
        <v>1000</v>
      </c>
      <c r="C50" s="20">
        <f t="shared" si="10"/>
        <v>0.25</v>
      </c>
      <c r="D50" s="19">
        <v>6</v>
      </c>
      <c r="E50" s="54">
        <f t="shared" si="11"/>
        <v>1.5</v>
      </c>
      <c r="G50" s="18" t="s">
        <v>241</v>
      </c>
      <c r="H50"/>
      <c r="I50" s="47"/>
      <c r="J50">
        <v>24</v>
      </c>
      <c r="K50" s="21" t="s">
        <v>34</v>
      </c>
      <c r="L50"/>
      <c r="M50"/>
    </row>
    <row r="51" spans="1:13" ht="12.75">
      <c r="A51" s="19" t="s">
        <v>28</v>
      </c>
      <c r="B51" s="19">
        <v>1000</v>
      </c>
      <c r="C51" s="20">
        <f t="shared" si="10"/>
        <v>0.25</v>
      </c>
      <c r="D51" s="19">
        <v>6</v>
      </c>
      <c r="E51" s="54">
        <f t="shared" si="11"/>
        <v>1.5</v>
      </c>
      <c r="G51" s="34"/>
      <c r="H51" s="19" t="s">
        <v>62</v>
      </c>
      <c r="I51" s="20" t="s">
        <v>63</v>
      </c>
      <c r="J51" s="19" t="s">
        <v>64</v>
      </c>
      <c r="K51" s="19" t="s">
        <v>65</v>
      </c>
      <c r="L51"/>
      <c r="M51"/>
    </row>
    <row r="52" spans="1:13" ht="12.75">
      <c r="A52" s="19" t="s">
        <v>71</v>
      </c>
      <c r="B52" s="19">
        <v>500</v>
      </c>
      <c r="C52" s="48">
        <f t="shared" si="10"/>
        <v>0.125</v>
      </c>
      <c r="D52" s="19">
        <v>16</v>
      </c>
      <c r="E52" s="54">
        <f t="shared" si="11"/>
        <v>2</v>
      </c>
      <c r="G52" s="19" t="s">
        <v>66</v>
      </c>
      <c r="H52" s="19">
        <v>1500</v>
      </c>
      <c r="I52" s="20">
        <f>H52/4000</f>
        <v>0.375</v>
      </c>
      <c r="J52" s="25">
        <v>1</v>
      </c>
      <c r="K52" s="20">
        <f>(I52*J52)</f>
        <v>0.375</v>
      </c>
      <c r="L52"/>
      <c r="M52"/>
    </row>
    <row r="53" spans="1:12" ht="12.75">
      <c r="A53" s="19" t="s">
        <v>30</v>
      </c>
      <c r="B53" s="19">
        <v>4000</v>
      </c>
      <c r="C53" s="48">
        <f t="shared" si="10"/>
        <v>1</v>
      </c>
      <c r="D53" s="19">
        <v>2</v>
      </c>
      <c r="E53" s="54">
        <f t="shared" si="11"/>
        <v>2</v>
      </c>
      <c r="G53" s="19" t="s">
        <v>67</v>
      </c>
      <c r="H53" s="19">
        <v>1300</v>
      </c>
      <c r="I53" s="20">
        <f>H53/4000</f>
        <v>0.325</v>
      </c>
      <c r="J53" s="25">
        <v>2</v>
      </c>
      <c r="K53" s="20">
        <f>(I53*J53)</f>
        <v>0.65</v>
      </c>
      <c r="L53"/>
    </row>
    <row r="54" spans="1:12" ht="12.75">
      <c r="A54" s="19" t="s">
        <v>106</v>
      </c>
      <c r="B54" s="78">
        <v>1000</v>
      </c>
      <c r="C54" s="79">
        <f t="shared" si="10"/>
        <v>0.25</v>
      </c>
      <c r="D54" s="19">
        <v>4</v>
      </c>
      <c r="E54" s="54">
        <f t="shared" si="11"/>
        <v>1</v>
      </c>
      <c r="G54" s="19" t="s">
        <v>39</v>
      </c>
      <c r="H54" s="19">
        <v>1500</v>
      </c>
      <c r="I54" s="20">
        <f>H54/4000</f>
        <v>0.375</v>
      </c>
      <c r="J54" s="19">
        <v>1</v>
      </c>
      <c r="K54" s="20">
        <f>(I54*J54)</f>
        <v>0.375</v>
      </c>
      <c r="L54"/>
    </row>
    <row r="55" spans="1:12" ht="12.75">
      <c r="A55" s="19" t="s">
        <v>107</v>
      </c>
      <c r="B55" s="78">
        <v>1000</v>
      </c>
      <c r="C55" s="79">
        <f t="shared" si="10"/>
        <v>0.25</v>
      </c>
      <c r="D55" s="19">
        <v>4</v>
      </c>
      <c r="E55" s="54">
        <f t="shared" si="11"/>
        <v>1</v>
      </c>
      <c r="G55" s="19" t="s">
        <v>50</v>
      </c>
      <c r="H55" s="19">
        <v>1500</v>
      </c>
      <c r="I55" s="20">
        <f>H55/4000</f>
        <v>0.375</v>
      </c>
      <c r="J55" s="25">
        <v>2</v>
      </c>
      <c r="K55" s="20">
        <f>(I55*J55)</f>
        <v>0.75</v>
      </c>
      <c r="L55"/>
    </row>
    <row r="56" spans="1:12" ht="12.75">
      <c r="A56" s="19" t="s">
        <v>124</v>
      </c>
      <c r="B56" s="78">
        <v>500</v>
      </c>
      <c r="C56" s="79">
        <f t="shared" si="10"/>
        <v>0.125</v>
      </c>
      <c r="D56" s="19">
        <v>24</v>
      </c>
      <c r="E56" s="54">
        <f t="shared" si="11"/>
        <v>3</v>
      </c>
      <c r="G56" s="34"/>
      <c r="H56" s="34"/>
      <c r="I56" s="20"/>
      <c r="J56" s="34"/>
      <c r="K56" s="20"/>
      <c r="L56"/>
    </row>
    <row r="57" spans="1:12" ht="12.75">
      <c r="A57" s="19" t="s">
        <v>125</v>
      </c>
      <c r="B57" s="78">
        <v>500</v>
      </c>
      <c r="C57" s="79">
        <f t="shared" si="10"/>
        <v>0.125</v>
      </c>
      <c r="D57" s="19">
        <v>6</v>
      </c>
      <c r="E57" s="54">
        <f t="shared" si="11"/>
        <v>0.75</v>
      </c>
      <c r="G57" s="19" t="s">
        <v>31</v>
      </c>
      <c r="H57" s="34"/>
      <c r="I57" s="48"/>
      <c r="J57" s="34"/>
      <c r="K57" s="20">
        <f>SUM(K52:K55)</f>
        <v>2.15</v>
      </c>
      <c r="L57"/>
    </row>
    <row r="58" spans="1:12" ht="12.75">
      <c r="A58" s="19" t="s">
        <v>126</v>
      </c>
      <c r="B58" s="78">
        <v>1500</v>
      </c>
      <c r="C58" s="79">
        <f t="shared" si="10"/>
        <v>0.375</v>
      </c>
      <c r="D58" s="19">
        <v>6</v>
      </c>
      <c r="E58" s="54">
        <f t="shared" si="11"/>
        <v>2.25</v>
      </c>
      <c r="G58" s="23" t="s">
        <v>68</v>
      </c>
      <c r="H58" s="19"/>
      <c r="I58" s="19"/>
      <c r="J58" s="19"/>
      <c r="K58" s="24">
        <f>K57*J50</f>
        <v>51.599999999999994</v>
      </c>
      <c r="L58"/>
    </row>
    <row r="59" spans="1:12" ht="12.75">
      <c r="A59" s="34"/>
      <c r="B59" s="34"/>
      <c r="C59" s="48"/>
      <c r="D59" s="34"/>
      <c r="E59" s="55"/>
      <c r="G59" s="1"/>
      <c r="H59" s="49"/>
      <c r="I59" s="50"/>
      <c r="J59" s="49"/>
      <c r="K59" s="51"/>
      <c r="L59"/>
    </row>
    <row r="60" spans="1:12" ht="12.75">
      <c r="A60" s="19" t="s">
        <v>31</v>
      </c>
      <c r="B60" s="34"/>
      <c r="C60" s="48"/>
      <c r="D60" s="34"/>
      <c r="E60" s="55">
        <f>SUM(E48:E59)</f>
        <v>24.75</v>
      </c>
      <c r="G60" s="6"/>
      <c r="H60" s="49"/>
      <c r="I60" s="49"/>
      <c r="J60" s="49"/>
      <c r="K60" s="51"/>
      <c r="L60"/>
    </row>
    <row r="61" spans="1:12" ht="12.75">
      <c r="A61" s="23" t="s">
        <v>41</v>
      </c>
      <c r="B61" s="34"/>
      <c r="C61" s="34"/>
      <c r="D61" s="34"/>
      <c r="E61" s="109">
        <f>D46*E60</f>
        <v>272.25</v>
      </c>
      <c r="G61" s="18" t="s">
        <v>242</v>
      </c>
      <c r="H61"/>
      <c r="I61" s="47"/>
      <c r="J61">
        <v>55</v>
      </c>
      <c r="K61" s="21" t="s">
        <v>34</v>
      </c>
      <c r="L61"/>
    </row>
    <row r="62" spans="7:12" ht="12.75">
      <c r="G62" s="34"/>
      <c r="H62" s="19" t="s">
        <v>62</v>
      </c>
      <c r="I62" s="20" t="s">
        <v>63</v>
      </c>
      <c r="J62" s="19" t="s">
        <v>64</v>
      </c>
      <c r="K62" s="19" t="s">
        <v>65</v>
      </c>
      <c r="L62"/>
    </row>
    <row r="63" spans="1:12" ht="12.75">
      <c r="A63" s="18" t="s">
        <v>183</v>
      </c>
      <c r="B63"/>
      <c r="C63" s="47"/>
      <c r="D63" s="72">
        <v>1</v>
      </c>
      <c r="E63" s="21" t="s">
        <v>70</v>
      </c>
      <c r="G63" s="19" t="s">
        <v>66</v>
      </c>
      <c r="H63" s="19">
        <v>1500</v>
      </c>
      <c r="I63" s="20">
        <f>H63/4000</f>
        <v>0.375</v>
      </c>
      <c r="J63" s="25">
        <v>1</v>
      </c>
      <c r="K63" s="20">
        <f>(I63*J63)</f>
        <v>0.375</v>
      </c>
      <c r="L63"/>
    </row>
    <row r="64" spans="1:12" ht="24">
      <c r="A64" s="34"/>
      <c r="B64" s="53" t="s">
        <v>62</v>
      </c>
      <c r="C64" s="53" t="s">
        <v>63</v>
      </c>
      <c r="D64" s="53" t="s">
        <v>69</v>
      </c>
      <c r="E64" s="53" t="s">
        <v>24</v>
      </c>
      <c r="G64" s="19" t="s">
        <v>67</v>
      </c>
      <c r="H64" s="19">
        <v>1300</v>
      </c>
      <c r="I64" s="20">
        <f>H64/4000</f>
        <v>0.325</v>
      </c>
      <c r="J64" s="25">
        <v>2</v>
      </c>
      <c r="K64" s="20">
        <f>(I64*J64)</f>
        <v>0.65</v>
      </c>
      <c r="L64"/>
    </row>
    <row r="65" spans="1:12" ht="12.75">
      <c r="A65" s="19" t="s">
        <v>25</v>
      </c>
      <c r="B65" s="19">
        <v>5000</v>
      </c>
      <c r="C65" s="20">
        <f aca="true" t="shared" si="12" ref="C65:C75">B65/4000</f>
        <v>1.25</v>
      </c>
      <c r="D65" s="19">
        <v>3</v>
      </c>
      <c r="E65" s="54">
        <f aca="true" t="shared" si="13" ref="E65:E75">(C65*D65)</f>
        <v>3.75</v>
      </c>
      <c r="G65" s="19" t="s">
        <v>39</v>
      </c>
      <c r="H65" s="19">
        <v>1500</v>
      </c>
      <c r="I65" s="20">
        <f>H65/4000</f>
        <v>0.375</v>
      </c>
      <c r="J65" s="19">
        <v>1</v>
      </c>
      <c r="K65" s="20">
        <f>(I65*J65)</f>
        <v>0.375</v>
      </c>
      <c r="L65"/>
    </row>
    <row r="66" spans="1:12" ht="12.75">
      <c r="A66" s="19" t="s">
        <v>26</v>
      </c>
      <c r="B66" s="19">
        <v>1500</v>
      </c>
      <c r="C66" s="20">
        <f t="shared" si="12"/>
        <v>0.375</v>
      </c>
      <c r="D66" s="19">
        <v>16</v>
      </c>
      <c r="E66" s="54">
        <f t="shared" si="13"/>
        <v>6</v>
      </c>
      <c r="G66" s="19" t="s">
        <v>50</v>
      </c>
      <c r="H66" s="19">
        <v>1500</v>
      </c>
      <c r="I66" s="20">
        <f>H66/4000</f>
        <v>0.375</v>
      </c>
      <c r="J66" s="25">
        <v>2</v>
      </c>
      <c r="K66" s="20">
        <f>(I66*J66)</f>
        <v>0.75</v>
      </c>
      <c r="L66"/>
    </row>
    <row r="67" spans="1:12" ht="12.75">
      <c r="A67" s="19" t="s">
        <v>27</v>
      </c>
      <c r="B67" s="19">
        <v>1000</v>
      </c>
      <c r="C67" s="20">
        <f t="shared" si="12"/>
        <v>0.25</v>
      </c>
      <c r="D67" s="19">
        <v>6</v>
      </c>
      <c r="E67" s="54">
        <f t="shared" si="13"/>
        <v>1.5</v>
      </c>
      <c r="G67" s="34"/>
      <c r="H67" s="34"/>
      <c r="I67" s="20"/>
      <c r="J67" s="34"/>
      <c r="K67" s="20"/>
      <c r="L67"/>
    </row>
    <row r="68" spans="1:12" ht="12.75">
      <c r="A68" s="19" t="s">
        <v>28</v>
      </c>
      <c r="B68" s="19">
        <v>1000</v>
      </c>
      <c r="C68" s="20">
        <f t="shared" si="12"/>
        <v>0.25</v>
      </c>
      <c r="D68" s="19">
        <v>6</v>
      </c>
      <c r="E68" s="54">
        <f t="shared" si="13"/>
        <v>1.5</v>
      </c>
      <c r="G68" s="19" t="s">
        <v>31</v>
      </c>
      <c r="H68" s="34"/>
      <c r="I68" s="48"/>
      <c r="J68" s="34"/>
      <c r="K68" s="20">
        <f>SUM(K63:K66)</f>
        <v>2.15</v>
      </c>
      <c r="L68"/>
    </row>
    <row r="69" spans="1:12" ht="12.75">
      <c r="A69" s="19" t="s">
        <v>71</v>
      </c>
      <c r="B69" s="19">
        <v>500</v>
      </c>
      <c r="C69" s="48">
        <f t="shared" si="12"/>
        <v>0.125</v>
      </c>
      <c r="D69" s="19">
        <v>16</v>
      </c>
      <c r="E69" s="54">
        <f t="shared" si="13"/>
        <v>2</v>
      </c>
      <c r="G69" s="23" t="s">
        <v>68</v>
      </c>
      <c r="H69" s="19"/>
      <c r="I69" s="19"/>
      <c r="J69" s="19"/>
      <c r="K69" s="24">
        <f>K68*J61</f>
        <v>118.25</v>
      </c>
      <c r="L69"/>
    </row>
    <row r="70" spans="1:12" ht="12.75">
      <c r="A70" s="19" t="s">
        <v>30</v>
      </c>
      <c r="B70" s="19">
        <v>4000</v>
      </c>
      <c r="C70" s="48">
        <f t="shared" si="12"/>
        <v>1</v>
      </c>
      <c r="D70" s="19">
        <v>2</v>
      </c>
      <c r="E70" s="54">
        <f t="shared" si="13"/>
        <v>2</v>
      </c>
      <c r="L70"/>
    </row>
    <row r="71" spans="1:12" ht="12.75">
      <c r="A71" s="19" t="s">
        <v>106</v>
      </c>
      <c r="B71" s="78">
        <v>1000</v>
      </c>
      <c r="C71" s="79">
        <f t="shared" si="12"/>
        <v>0.25</v>
      </c>
      <c r="D71" s="19">
        <v>4</v>
      </c>
      <c r="E71" s="54">
        <f t="shared" si="13"/>
        <v>1</v>
      </c>
      <c r="F71" s="18"/>
      <c r="L71"/>
    </row>
    <row r="72" spans="1:12" ht="12.75">
      <c r="A72" s="19" t="s">
        <v>107</v>
      </c>
      <c r="B72" s="78">
        <v>1000</v>
      </c>
      <c r="C72" s="79">
        <f t="shared" si="12"/>
        <v>0.25</v>
      </c>
      <c r="D72" s="19">
        <v>4</v>
      </c>
      <c r="E72" s="54">
        <f t="shared" si="13"/>
        <v>1</v>
      </c>
      <c r="L72"/>
    </row>
    <row r="73" spans="1:12" ht="12.75">
      <c r="A73" s="19" t="s">
        <v>124</v>
      </c>
      <c r="B73" s="78">
        <v>500</v>
      </c>
      <c r="C73" s="79">
        <f t="shared" si="12"/>
        <v>0.125</v>
      </c>
      <c r="D73" s="19">
        <v>24</v>
      </c>
      <c r="E73" s="54">
        <f t="shared" si="13"/>
        <v>3</v>
      </c>
      <c r="L73"/>
    </row>
    <row r="74" spans="1:12" ht="12.75">
      <c r="A74" s="19" t="s">
        <v>125</v>
      </c>
      <c r="B74" s="78">
        <v>500</v>
      </c>
      <c r="C74" s="79">
        <f t="shared" si="12"/>
        <v>0.125</v>
      </c>
      <c r="D74" s="19">
        <v>6</v>
      </c>
      <c r="E74" s="54">
        <f t="shared" si="13"/>
        <v>0.75</v>
      </c>
      <c r="F74" s="88"/>
      <c r="L74"/>
    </row>
    <row r="75" spans="1:12" ht="12.75">
      <c r="A75" s="19" t="s">
        <v>126</v>
      </c>
      <c r="B75" s="78">
        <v>1500</v>
      </c>
      <c r="C75" s="79">
        <f t="shared" si="12"/>
        <v>0.375</v>
      </c>
      <c r="D75" s="19">
        <v>6</v>
      </c>
      <c r="E75" s="54">
        <f t="shared" si="13"/>
        <v>2.25</v>
      </c>
      <c r="F75" s="88"/>
      <c r="G75" s="87" t="s">
        <v>193</v>
      </c>
      <c r="L75"/>
    </row>
    <row r="76" spans="1:12" ht="12.75">
      <c r="A76" s="34"/>
      <c r="B76" s="34"/>
      <c r="C76" s="48"/>
      <c r="D76" s="34"/>
      <c r="E76" s="55"/>
      <c r="F76" s="88"/>
      <c r="L76"/>
    </row>
    <row r="77" spans="1:12" ht="12.75">
      <c r="A77" s="19" t="s">
        <v>31</v>
      </c>
      <c r="B77" s="34"/>
      <c r="C77" s="48"/>
      <c r="D77" s="34"/>
      <c r="E77" s="55">
        <f>SUM(E65:E76)</f>
        <v>24.75</v>
      </c>
      <c r="F77" s="88"/>
      <c r="G77" s="19"/>
      <c r="H77" s="23" t="s">
        <v>133</v>
      </c>
      <c r="I77" s="23" t="s">
        <v>134</v>
      </c>
      <c r="J77" s="23" t="s">
        <v>130</v>
      </c>
      <c r="K77" s="23" t="s">
        <v>131</v>
      </c>
      <c r="L77" s="23" t="s">
        <v>0</v>
      </c>
    </row>
    <row r="78" spans="1:12" ht="12.75">
      <c r="A78" s="23" t="s">
        <v>41</v>
      </c>
      <c r="B78" s="34"/>
      <c r="C78" s="34"/>
      <c r="D78" s="34"/>
      <c r="E78" s="109">
        <f>D63*E77</f>
        <v>24.75</v>
      </c>
      <c r="F78" s="88"/>
      <c r="G78" s="23" t="s">
        <v>129</v>
      </c>
      <c r="H78" s="19"/>
      <c r="I78" s="19"/>
      <c r="J78" s="19"/>
      <c r="K78" s="19"/>
      <c r="L78" s="19"/>
    </row>
    <row r="79" spans="5:12" ht="12.75">
      <c r="E79" s="52">
        <f>E29+E42+E61+E78</f>
        <v>958</v>
      </c>
      <c r="F79" s="88"/>
      <c r="G79" s="19" t="s">
        <v>132</v>
      </c>
      <c r="H79" s="19"/>
      <c r="I79" s="19"/>
      <c r="J79" s="89">
        <v>5</v>
      </c>
      <c r="K79" s="89">
        <v>5</v>
      </c>
      <c r="L79" s="89">
        <f>J79*K79</f>
        <v>25</v>
      </c>
    </row>
    <row r="80" spans="6:12" ht="12">
      <c r="F80" s="88"/>
      <c r="G80" s="19"/>
      <c r="H80" s="19"/>
      <c r="I80" s="19"/>
      <c r="J80" s="19"/>
      <c r="K80" s="19"/>
      <c r="L80" s="90">
        <f>SUM(L79)</f>
        <v>25</v>
      </c>
    </row>
    <row r="81" spans="5:12" ht="12">
      <c r="E81" s="87"/>
      <c r="F81" s="88"/>
      <c r="G81" s="23" t="s">
        <v>135</v>
      </c>
      <c r="H81" s="19"/>
      <c r="I81" s="19"/>
      <c r="J81" s="19"/>
      <c r="K81" s="19"/>
      <c r="L81" s="19"/>
    </row>
    <row r="82" spans="6:12" ht="12">
      <c r="F82" s="88"/>
      <c r="G82" s="89" t="s">
        <v>161</v>
      </c>
      <c r="H82" s="19" t="s">
        <v>136</v>
      </c>
      <c r="I82" s="19" t="s">
        <v>141</v>
      </c>
      <c r="J82" s="89">
        <v>5</v>
      </c>
      <c r="K82" s="19">
        <f>2*3</f>
        <v>6</v>
      </c>
      <c r="L82" s="91">
        <f aca="true" t="shared" si="14" ref="L82:L90">J82*K82</f>
        <v>30</v>
      </c>
    </row>
    <row r="83" spans="6:12" ht="12">
      <c r="F83" s="88"/>
      <c r="G83" s="89" t="s">
        <v>161</v>
      </c>
      <c r="H83" s="19" t="s">
        <v>137</v>
      </c>
      <c r="I83" s="19" t="s">
        <v>141</v>
      </c>
      <c r="J83" s="89">
        <v>5</v>
      </c>
      <c r="K83" s="19">
        <f>2*2</f>
        <v>4</v>
      </c>
      <c r="L83" s="91">
        <f t="shared" si="14"/>
        <v>20</v>
      </c>
    </row>
    <row r="84" spans="6:12" ht="12">
      <c r="F84" s="88"/>
      <c r="G84" s="89" t="s">
        <v>161</v>
      </c>
      <c r="H84" s="19" t="s">
        <v>138</v>
      </c>
      <c r="I84" s="19" t="s">
        <v>141</v>
      </c>
      <c r="J84" s="89">
        <v>5</v>
      </c>
      <c r="K84" s="19">
        <f>2*4</f>
        <v>8</v>
      </c>
      <c r="L84" s="91">
        <f t="shared" si="14"/>
        <v>40</v>
      </c>
    </row>
    <row r="85" spans="6:12" ht="12">
      <c r="F85" s="88"/>
      <c r="G85" s="89" t="s">
        <v>162</v>
      </c>
      <c r="H85" s="19" t="s">
        <v>139</v>
      </c>
      <c r="I85" s="19" t="s">
        <v>142</v>
      </c>
      <c r="J85" s="89">
        <v>1.8</v>
      </c>
      <c r="K85" s="19">
        <f>2*15</f>
        <v>30</v>
      </c>
      <c r="L85" s="91">
        <f t="shared" si="14"/>
        <v>54</v>
      </c>
    </row>
    <row r="86" spans="4:12" ht="12">
      <c r="D86" s="88"/>
      <c r="E86" s="88"/>
      <c r="F86" s="88"/>
      <c r="G86" s="89" t="s">
        <v>162</v>
      </c>
      <c r="H86" s="19" t="s">
        <v>140</v>
      </c>
      <c r="I86" s="19" t="s">
        <v>142</v>
      </c>
      <c r="J86" s="89">
        <v>1.8</v>
      </c>
      <c r="K86" s="19">
        <f>2*5</f>
        <v>10</v>
      </c>
      <c r="L86" s="91">
        <f t="shared" si="14"/>
        <v>18</v>
      </c>
    </row>
    <row r="87" spans="4:12" ht="12">
      <c r="D87" s="88"/>
      <c r="E87" s="88"/>
      <c r="F87" s="88"/>
      <c r="G87" s="89" t="s">
        <v>162</v>
      </c>
      <c r="H87" s="19" t="s">
        <v>140</v>
      </c>
      <c r="I87" s="19" t="s">
        <v>142</v>
      </c>
      <c r="J87" s="89">
        <v>1.8</v>
      </c>
      <c r="K87" s="19">
        <f>2*5</f>
        <v>10</v>
      </c>
      <c r="L87" s="91">
        <f t="shared" si="14"/>
        <v>18</v>
      </c>
    </row>
    <row r="88" spans="4:12" ht="12">
      <c r="D88" s="88"/>
      <c r="E88" s="88"/>
      <c r="F88" s="88"/>
      <c r="G88" s="89" t="s">
        <v>162</v>
      </c>
      <c r="H88" s="19" t="s">
        <v>136</v>
      </c>
      <c r="I88" s="19" t="s">
        <v>142</v>
      </c>
      <c r="J88" s="89">
        <v>2.5</v>
      </c>
      <c r="K88" s="19"/>
      <c r="L88" s="91">
        <f t="shared" si="14"/>
        <v>0</v>
      </c>
    </row>
    <row r="89" spans="4:12" ht="12">
      <c r="D89" s="88"/>
      <c r="E89" s="88"/>
      <c r="F89" s="88"/>
      <c r="G89" s="89" t="s">
        <v>162</v>
      </c>
      <c r="H89" s="19" t="s">
        <v>137</v>
      </c>
      <c r="I89" s="19" t="s">
        <v>142</v>
      </c>
      <c r="J89" s="89">
        <v>2.6</v>
      </c>
      <c r="K89" s="19"/>
      <c r="L89" s="91">
        <f t="shared" si="14"/>
        <v>0</v>
      </c>
    </row>
    <row r="90" spans="4:12" ht="12">
      <c r="D90" s="88"/>
      <c r="E90" s="88"/>
      <c r="F90" s="88"/>
      <c r="G90" s="89" t="s">
        <v>162</v>
      </c>
      <c r="H90" s="19" t="s">
        <v>138</v>
      </c>
      <c r="I90" s="19" t="s">
        <v>142</v>
      </c>
      <c r="J90" s="89">
        <v>2.8</v>
      </c>
      <c r="K90" s="19"/>
      <c r="L90" s="91">
        <f t="shared" si="14"/>
        <v>0</v>
      </c>
    </row>
    <row r="91" spans="4:12" ht="12">
      <c r="D91" s="88"/>
      <c r="E91" s="88"/>
      <c r="F91" s="88"/>
      <c r="G91" s="89"/>
      <c r="H91" s="19"/>
      <c r="I91" s="19"/>
      <c r="J91" s="19"/>
      <c r="K91" s="23">
        <f>SUM(K82:K90)</f>
        <v>68</v>
      </c>
      <c r="L91" s="92">
        <f>SUM(L82:L90)</f>
        <v>180</v>
      </c>
    </row>
    <row r="92" spans="4:12" ht="12">
      <c r="D92" s="88"/>
      <c r="E92" s="88"/>
      <c r="F92" s="88"/>
      <c r="G92" s="23" t="s">
        <v>143</v>
      </c>
      <c r="H92" s="19"/>
      <c r="I92" s="19"/>
      <c r="J92" s="19"/>
      <c r="K92" s="19"/>
      <c r="L92" s="19"/>
    </row>
    <row r="93" spans="4:12" ht="12">
      <c r="D93" s="88"/>
      <c r="E93" s="88"/>
      <c r="F93" s="88"/>
      <c r="G93" s="89" t="s">
        <v>144</v>
      </c>
      <c r="H93" s="19"/>
      <c r="I93" s="19" t="s">
        <v>145</v>
      </c>
      <c r="J93" s="19">
        <v>0.3</v>
      </c>
      <c r="K93" s="19">
        <f>K91</f>
        <v>68</v>
      </c>
      <c r="L93" s="91">
        <f>J93*K93</f>
        <v>20.4</v>
      </c>
    </row>
    <row r="94" spans="4:12" ht="12">
      <c r="D94" s="88"/>
      <c r="E94" s="88"/>
      <c r="F94" s="88"/>
      <c r="G94" s="89" t="s">
        <v>144</v>
      </c>
      <c r="H94" s="19"/>
      <c r="I94" s="19" t="s">
        <v>141</v>
      </c>
      <c r="J94" s="19">
        <v>0.17</v>
      </c>
      <c r="K94" s="19">
        <f>K91</f>
        <v>68</v>
      </c>
      <c r="L94" s="91">
        <f>J94*K94</f>
        <v>11.56</v>
      </c>
    </row>
    <row r="95" spans="4:12" ht="12">
      <c r="D95" s="88"/>
      <c r="E95" s="88"/>
      <c r="F95" s="88"/>
      <c r="G95" s="89" t="s">
        <v>144</v>
      </c>
      <c r="H95" s="19"/>
      <c r="I95" s="19" t="s">
        <v>146</v>
      </c>
      <c r="J95" s="19">
        <v>0.17</v>
      </c>
      <c r="K95" s="19">
        <f>K91</f>
        <v>68</v>
      </c>
      <c r="L95" s="91">
        <f>J95*K95</f>
        <v>11.56</v>
      </c>
    </row>
    <row r="96" spans="4:12" ht="12">
      <c r="D96" s="88"/>
      <c r="E96" s="88"/>
      <c r="F96" s="88"/>
      <c r="G96" s="89" t="s">
        <v>144</v>
      </c>
      <c r="H96" s="19"/>
      <c r="I96" s="19" t="s">
        <v>147</v>
      </c>
      <c r="J96" s="19">
        <v>0.17</v>
      </c>
      <c r="K96" s="19">
        <f>K91</f>
        <v>68</v>
      </c>
      <c r="L96" s="91">
        <f>J96*K96</f>
        <v>11.56</v>
      </c>
    </row>
    <row r="97" spans="4:12" ht="12">
      <c r="D97" s="88"/>
      <c r="E97" s="88"/>
      <c r="F97" s="88"/>
      <c r="G97" s="89" t="s">
        <v>144</v>
      </c>
      <c r="H97" s="19"/>
      <c r="I97" s="19" t="s">
        <v>148</v>
      </c>
      <c r="J97" s="19">
        <v>0.17</v>
      </c>
      <c r="K97" s="19">
        <f>K91</f>
        <v>68</v>
      </c>
      <c r="L97" s="91">
        <f>J97*K97</f>
        <v>11.56</v>
      </c>
    </row>
    <row r="98" spans="4:12" ht="12">
      <c r="D98" s="88"/>
      <c r="E98" s="88"/>
      <c r="F98" s="88"/>
      <c r="G98" s="93"/>
      <c r="H98" s="94"/>
      <c r="I98" s="95"/>
      <c r="J98" s="19"/>
      <c r="K98" s="19"/>
      <c r="L98" s="92">
        <f>SUM(L93:L97)</f>
        <v>66.64</v>
      </c>
    </row>
    <row r="99" spans="4:12" ht="12">
      <c r="D99" s="88"/>
      <c r="E99" s="88"/>
      <c r="F99" s="88"/>
      <c r="G99" s="96"/>
      <c r="H99" s="1"/>
      <c r="I99" s="97"/>
      <c r="J99" s="101"/>
      <c r="K99" s="103"/>
      <c r="L99" s="104"/>
    </row>
    <row r="100" spans="4:12" ht="12">
      <c r="D100" s="88"/>
      <c r="E100" s="88"/>
      <c r="F100" s="88"/>
      <c r="G100" s="96"/>
      <c r="H100" s="1"/>
      <c r="I100" s="97"/>
      <c r="J100" s="101" t="s">
        <v>149</v>
      </c>
      <c r="K100" s="102"/>
      <c r="L100" s="91">
        <f>L79+L91+L98</f>
        <v>271.64</v>
      </c>
    </row>
    <row r="101" spans="4:12" ht="12">
      <c r="D101" s="88"/>
      <c r="E101" s="88"/>
      <c r="F101" s="88"/>
      <c r="G101" s="96"/>
      <c r="H101" s="1"/>
      <c r="I101" s="97"/>
      <c r="J101" s="101" t="s">
        <v>150</v>
      </c>
      <c r="K101" s="102"/>
      <c r="L101" s="19">
        <v>10</v>
      </c>
    </row>
    <row r="102" spans="4:12" ht="12">
      <c r="D102" s="88"/>
      <c r="E102" s="88"/>
      <c r="F102" s="88"/>
      <c r="G102" s="96"/>
      <c r="H102" s="1"/>
      <c r="I102" s="97"/>
      <c r="J102" s="101" t="s">
        <v>0</v>
      </c>
      <c r="K102" s="102"/>
      <c r="L102" s="91">
        <f>L100-(L91*L101%)</f>
        <v>253.64</v>
      </c>
    </row>
    <row r="103" spans="4:12" ht="12">
      <c r="D103" s="88"/>
      <c r="E103" s="88"/>
      <c r="F103" s="88"/>
      <c r="G103" s="96"/>
      <c r="H103" s="1"/>
      <c r="I103" s="97"/>
      <c r="J103" s="101" t="s">
        <v>151</v>
      </c>
      <c r="K103" s="102"/>
      <c r="L103" s="92">
        <f>L102</f>
        <v>253.64</v>
      </c>
    </row>
    <row r="104" spans="4:12" ht="12">
      <c r="D104" s="88"/>
      <c r="E104" s="88"/>
      <c r="F104" s="88"/>
      <c r="G104" s="98"/>
      <c r="H104" s="99"/>
      <c r="I104" s="100"/>
      <c r="J104" s="101" t="s">
        <v>152</v>
      </c>
      <c r="K104" s="102"/>
      <c r="L104" s="91">
        <f>L103/K91</f>
        <v>3.73</v>
      </c>
    </row>
    <row r="105" spans="4:7" ht="12">
      <c r="D105" s="88"/>
      <c r="E105" s="88"/>
      <c r="F105" s="88"/>
      <c r="G105" s="88"/>
    </row>
    <row r="106" spans="4:7" ht="12">
      <c r="D106" s="88"/>
      <c r="E106" s="88"/>
      <c r="F106" s="88"/>
      <c r="G106" s="87" t="s">
        <v>194</v>
      </c>
    </row>
    <row r="107" spans="4:6" ht="12">
      <c r="D107" s="88"/>
      <c r="E107" s="88"/>
      <c r="F107" s="88"/>
    </row>
    <row r="108" spans="4:12" ht="12">
      <c r="D108" s="88"/>
      <c r="E108" s="88"/>
      <c r="F108" s="88"/>
      <c r="G108" s="19"/>
      <c r="H108" s="23" t="s">
        <v>133</v>
      </c>
      <c r="I108" s="23" t="s">
        <v>134</v>
      </c>
      <c r="J108" s="23" t="s">
        <v>130</v>
      </c>
      <c r="K108" s="23" t="s">
        <v>131</v>
      </c>
      <c r="L108" s="23" t="s">
        <v>0</v>
      </c>
    </row>
    <row r="109" spans="4:12" ht="12">
      <c r="D109" s="88"/>
      <c r="E109" s="88"/>
      <c r="G109" s="23" t="s">
        <v>129</v>
      </c>
      <c r="H109" s="19"/>
      <c r="I109" s="19"/>
      <c r="J109" s="19"/>
      <c r="K109" s="19"/>
      <c r="L109" s="19"/>
    </row>
    <row r="110" spans="4:12" ht="12">
      <c r="D110" s="88"/>
      <c r="E110" s="88"/>
      <c r="G110" s="19" t="s">
        <v>132</v>
      </c>
      <c r="H110" s="19"/>
      <c r="I110" s="19"/>
      <c r="J110" s="89">
        <v>5</v>
      </c>
      <c r="K110" s="89">
        <v>5</v>
      </c>
      <c r="L110" s="89">
        <f>J110*K110</f>
        <v>25</v>
      </c>
    </row>
    <row r="111" spans="4:12" ht="12">
      <c r="D111" s="88"/>
      <c r="E111" s="88"/>
      <c r="G111" s="19"/>
      <c r="H111" s="19"/>
      <c r="I111" s="19"/>
      <c r="J111" s="19"/>
      <c r="K111" s="19"/>
      <c r="L111" s="90">
        <f>SUM(L110)</f>
        <v>25</v>
      </c>
    </row>
    <row r="112" spans="4:12" ht="12">
      <c r="D112" s="88"/>
      <c r="E112" s="88"/>
      <c r="G112" s="23" t="s">
        <v>135</v>
      </c>
      <c r="H112" s="19"/>
      <c r="I112" s="19"/>
      <c r="J112" s="19"/>
      <c r="K112" s="19"/>
      <c r="L112" s="19"/>
    </row>
    <row r="113" spans="4:12" ht="12">
      <c r="D113" s="88"/>
      <c r="E113" s="88"/>
      <c r="G113" s="89" t="s">
        <v>161</v>
      </c>
      <c r="H113" s="19" t="s">
        <v>136</v>
      </c>
      <c r="I113" s="19" t="s">
        <v>141</v>
      </c>
      <c r="J113" s="89">
        <v>5</v>
      </c>
      <c r="K113" s="19">
        <f>2*4</f>
        <v>8</v>
      </c>
      <c r="L113" s="91">
        <f aca="true" t="shared" si="15" ref="L113:L121">J113*K113</f>
        <v>40</v>
      </c>
    </row>
    <row r="114" spans="4:12" ht="12">
      <c r="D114" s="88"/>
      <c r="E114" s="88"/>
      <c r="G114" s="89" t="s">
        <v>161</v>
      </c>
      <c r="H114" s="19" t="s">
        <v>137</v>
      </c>
      <c r="I114" s="19" t="s">
        <v>141</v>
      </c>
      <c r="J114" s="89">
        <v>5</v>
      </c>
      <c r="K114" s="19">
        <f>2*2</f>
        <v>4</v>
      </c>
      <c r="L114" s="91">
        <f t="shared" si="15"/>
        <v>20</v>
      </c>
    </row>
    <row r="115" spans="4:12" ht="12">
      <c r="D115" s="88"/>
      <c r="E115" s="88"/>
      <c r="G115" s="89" t="s">
        <v>161</v>
      </c>
      <c r="H115" s="19" t="s">
        <v>138</v>
      </c>
      <c r="I115" s="19" t="s">
        <v>141</v>
      </c>
      <c r="J115" s="89">
        <v>5</v>
      </c>
      <c r="K115" s="19"/>
      <c r="L115" s="91">
        <f t="shared" si="15"/>
        <v>0</v>
      </c>
    </row>
    <row r="116" spans="4:12" ht="12">
      <c r="D116" s="88"/>
      <c r="E116" s="88"/>
      <c r="G116" s="89" t="s">
        <v>162</v>
      </c>
      <c r="H116" s="19" t="s">
        <v>139</v>
      </c>
      <c r="I116" s="19" t="s">
        <v>142</v>
      </c>
      <c r="J116" s="89">
        <v>1.8</v>
      </c>
      <c r="K116" s="19">
        <f>2*15</f>
        <v>30</v>
      </c>
      <c r="L116" s="91">
        <f t="shared" si="15"/>
        <v>54</v>
      </c>
    </row>
    <row r="117" spans="4:12" ht="12">
      <c r="D117" s="88"/>
      <c r="E117" s="88"/>
      <c r="G117" s="89" t="s">
        <v>162</v>
      </c>
      <c r="H117" s="19" t="s">
        <v>140</v>
      </c>
      <c r="I117" s="19" t="s">
        <v>142</v>
      </c>
      <c r="J117" s="89">
        <v>1.8</v>
      </c>
      <c r="K117" s="19">
        <f>2*5</f>
        <v>10</v>
      </c>
      <c r="L117" s="91">
        <f t="shared" si="15"/>
        <v>18</v>
      </c>
    </row>
    <row r="118" spans="4:12" ht="12">
      <c r="D118" s="88"/>
      <c r="E118" s="88"/>
      <c r="G118" s="89" t="s">
        <v>162</v>
      </c>
      <c r="H118" s="19" t="s">
        <v>140</v>
      </c>
      <c r="I118" s="19" t="s">
        <v>142</v>
      </c>
      <c r="J118" s="89">
        <v>1.8</v>
      </c>
      <c r="K118" s="19">
        <f>2*5</f>
        <v>10</v>
      </c>
      <c r="L118" s="91">
        <f t="shared" si="15"/>
        <v>18</v>
      </c>
    </row>
    <row r="119" spans="4:12" ht="12">
      <c r="D119" s="88"/>
      <c r="E119" s="88"/>
      <c r="G119" s="89" t="s">
        <v>162</v>
      </c>
      <c r="H119" s="19" t="s">
        <v>136</v>
      </c>
      <c r="I119" s="19" t="s">
        <v>142</v>
      </c>
      <c r="J119" s="89">
        <v>2.5</v>
      </c>
      <c r="K119" s="19"/>
      <c r="L119" s="91">
        <f t="shared" si="15"/>
        <v>0</v>
      </c>
    </row>
    <row r="120" spans="4:12" ht="12">
      <c r="D120" s="88"/>
      <c r="E120" s="88"/>
      <c r="G120" s="89" t="s">
        <v>162</v>
      </c>
      <c r="H120" s="19" t="s">
        <v>137</v>
      </c>
      <c r="I120" s="19" t="s">
        <v>142</v>
      </c>
      <c r="J120" s="89">
        <v>2.6</v>
      </c>
      <c r="K120" s="19"/>
      <c r="L120" s="91">
        <f t="shared" si="15"/>
        <v>0</v>
      </c>
    </row>
    <row r="121" spans="7:12" ht="12">
      <c r="G121" s="89" t="s">
        <v>162</v>
      </c>
      <c r="H121" s="19" t="s">
        <v>138</v>
      </c>
      <c r="I121" s="19" t="s">
        <v>142</v>
      </c>
      <c r="J121" s="89">
        <v>2.8</v>
      </c>
      <c r="K121" s="19"/>
      <c r="L121" s="91">
        <f t="shared" si="15"/>
        <v>0</v>
      </c>
    </row>
    <row r="122" spans="7:12" ht="12">
      <c r="G122" s="89"/>
      <c r="H122" s="19"/>
      <c r="I122" s="19"/>
      <c r="J122" s="19"/>
      <c r="K122" s="23">
        <f>SUM(K113:K121)</f>
        <v>62</v>
      </c>
      <c r="L122" s="92">
        <f>SUM(L113:L121)</f>
        <v>150</v>
      </c>
    </row>
    <row r="123" spans="7:12" ht="12">
      <c r="G123" s="23" t="s">
        <v>143</v>
      </c>
      <c r="H123" s="19"/>
      <c r="I123" s="19"/>
      <c r="J123" s="19"/>
      <c r="K123" s="19"/>
      <c r="L123" s="19"/>
    </row>
    <row r="124" spans="7:12" ht="12">
      <c r="G124" s="89" t="s">
        <v>144</v>
      </c>
      <c r="H124" s="19"/>
      <c r="I124" s="19" t="s">
        <v>145</v>
      </c>
      <c r="J124" s="19">
        <v>0.3</v>
      </c>
      <c r="K124" s="19">
        <f>K122</f>
        <v>62</v>
      </c>
      <c r="L124" s="91">
        <f>J124*K124</f>
        <v>18.599999999999998</v>
      </c>
    </row>
    <row r="125" spans="7:12" ht="12">
      <c r="G125" s="89" t="s">
        <v>144</v>
      </c>
      <c r="H125" s="19"/>
      <c r="I125" s="19" t="s">
        <v>141</v>
      </c>
      <c r="J125" s="19">
        <v>0.17</v>
      </c>
      <c r="K125" s="19">
        <f>K122</f>
        <v>62</v>
      </c>
      <c r="L125" s="91">
        <f>J125*K125</f>
        <v>10.540000000000001</v>
      </c>
    </row>
    <row r="126" spans="7:12" ht="12">
      <c r="G126" s="89" t="s">
        <v>144</v>
      </c>
      <c r="H126" s="19"/>
      <c r="I126" s="19" t="s">
        <v>146</v>
      </c>
      <c r="J126" s="19">
        <v>0.17</v>
      </c>
      <c r="K126" s="19">
        <f>K122</f>
        <v>62</v>
      </c>
      <c r="L126" s="91">
        <f>J126*K126</f>
        <v>10.540000000000001</v>
      </c>
    </row>
    <row r="127" spans="7:12" ht="12">
      <c r="G127" s="89" t="s">
        <v>144</v>
      </c>
      <c r="H127" s="19"/>
      <c r="I127" s="19" t="s">
        <v>147</v>
      </c>
      <c r="J127" s="19">
        <v>0.17</v>
      </c>
      <c r="K127" s="19">
        <f>K122</f>
        <v>62</v>
      </c>
      <c r="L127" s="91">
        <f>J127*K127</f>
        <v>10.540000000000001</v>
      </c>
    </row>
    <row r="128" spans="7:12" ht="12">
      <c r="G128" s="89" t="s">
        <v>144</v>
      </c>
      <c r="H128" s="19"/>
      <c r="I128" s="19" t="s">
        <v>148</v>
      </c>
      <c r="J128" s="19">
        <v>0.17</v>
      </c>
      <c r="K128" s="19">
        <f>K122</f>
        <v>62</v>
      </c>
      <c r="L128" s="91">
        <f>J128*K128</f>
        <v>10.540000000000001</v>
      </c>
    </row>
    <row r="129" spans="7:12" ht="12">
      <c r="G129" s="93"/>
      <c r="H129" s="94"/>
      <c r="I129" s="95"/>
      <c r="J129" s="19"/>
      <c r="K129" s="19"/>
      <c r="L129" s="92">
        <f>SUM(L124:L128)</f>
        <v>60.76</v>
      </c>
    </row>
    <row r="130" spans="7:12" ht="12">
      <c r="G130" s="96"/>
      <c r="H130" s="1"/>
      <c r="I130" s="97"/>
      <c r="J130" s="101"/>
      <c r="K130" s="103"/>
      <c r="L130" s="104"/>
    </row>
    <row r="131" spans="7:12" ht="12">
      <c r="G131" s="96"/>
      <c r="H131" s="1"/>
      <c r="I131" s="97"/>
      <c r="J131" s="101" t="s">
        <v>149</v>
      </c>
      <c r="K131" s="102"/>
      <c r="L131" s="91">
        <f>L110+L122+L129</f>
        <v>235.76</v>
      </c>
    </row>
    <row r="132" spans="7:12" ht="12">
      <c r="G132" s="96"/>
      <c r="H132" s="1"/>
      <c r="I132" s="97"/>
      <c r="J132" s="101" t="s">
        <v>150</v>
      </c>
      <c r="K132" s="102"/>
      <c r="L132" s="19">
        <v>10</v>
      </c>
    </row>
    <row r="133" spans="7:12" ht="12">
      <c r="G133" s="96"/>
      <c r="H133" s="1"/>
      <c r="I133" s="97"/>
      <c r="J133" s="101" t="s">
        <v>0</v>
      </c>
      <c r="K133" s="102"/>
      <c r="L133" s="91">
        <f>L131-(L122*L132%)</f>
        <v>220.76</v>
      </c>
    </row>
    <row r="134" spans="7:12" ht="12">
      <c r="G134" s="96"/>
      <c r="H134" s="1"/>
      <c r="I134" s="97"/>
      <c r="J134" s="101" t="s">
        <v>151</v>
      </c>
      <c r="K134" s="102"/>
      <c r="L134" s="92">
        <f>L133</f>
        <v>220.76</v>
      </c>
    </row>
    <row r="135" spans="7:12" ht="12">
      <c r="G135" s="98"/>
      <c r="H135" s="99"/>
      <c r="I135" s="100"/>
      <c r="J135" s="101" t="s">
        <v>152</v>
      </c>
      <c r="K135" s="102"/>
      <c r="L135" s="91">
        <f>L134/K122</f>
        <v>3.5606451612903225</v>
      </c>
    </row>
  </sheetData>
  <sheetProtection/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</dc:creator>
  <cp:keywords/>
  <dc:description/>
  <cp:lastModifiedBy>Thuy Duong Nguyen</cp:lastModifiedBy>
  <cp:lastPrinted>2013-05-30T08:34:27Z</cp:lastPrinted>
  <dcterms:created xsi:type="dcterms:W3CDTF">2011-04-06T05:22:59Z</dcterms:created>
  <dcterms:modified xsi:type="dcterms:W3CDTF">2014-01-01T15:04:48Z</dcterms:modified>
  <cp:category/>
  <cp:version/>
  <cp:contentType/>
  <cp:contentStatus/>
</cp:coreProperties>
</file>