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RAPPORT GLOBAL AAS 2011 (2)" sheetId="1" r:id="rId1"/>
    <sheet name="RECAPITULATIF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aas</author>
  </authors>
  <commentList>
    <comment ref="A140" authorId="0">
      <text>
        <r>
          <rPr>
            <b/>
            <sz val="8"/>
            <rFont val="Tahoma"/>
            <family val="2"/>
          </rPr>
          <t>aas: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<sst xmlns="http://schemas.openxmlformats.org/spreadsheetml/2006/main" count="256" uniqueCount="209">
  <si>
    <t>Formation</t>
  </si>
  <si>
    <t>Total</t>
  </si>
  <si>
    <t>IPC</t>
  </si>
  <si>
    <t>Organisation Non Gouvernementale (O.N.G.) Nationale des Volontaires pour le Développement</t>
  </si>
  <si>
    <t>N° 97-0008 / MEF/SG/DG-COOP/BSONG</t>
  </si>
  <si>
    <t>Récépissé N° 93-143  MAT/SG/DGAT/DLPJ</t>
  </si>
  <si>
    <t>N° de comptes : C.C.P. : 8985 K Ouagadougou / B.I.C.I.A.-B : 9053061 777 01 - 84</t>
  </si>
  <si>
    <t>Chevalier de l’ordre de Mérite National</t>
  </si>
  <si>
    <t>TOTAL GENERAL</t>
  </si>
  <si>
    <t>Investissement</t>
  </si>
  <si>
    <t>Téléphone</t>
  </si>
  <si>
    <t>AIDSETI</t>
  </si>
  <si>
    <t>AAS</t>
  </si>
  <si>
    <t>PAMAC</t>
  </si>
  <si>
    <t>PAM</t>
  </si>
  <si>
    <t>STE SAINT VINCENT DE PAUL</t>
  </si>
  <si>
    <t>SIDACTION</t>
  </si>
  <si>
    <t xml:space="preserve">AAS France </t>
  </si>
  <si>
    <t xml:space="preserve"> A. A. S.</t>
  </si>
  <si>
    <t>ASSOCIATION AFRICAN SOLIDARITE</t>
  </si>
  <si>
    <t>01 B.P. 2831 Ouagadougou 01</t>
  </si>
  <si>
    <t>Tel : (226) 50 31 01 47   Fax : (226) 50 30 48 22</t>
  </si>
  <si>
    <t xml:space="preserve">Email : aas@fasonet.bf   Site Internet: www.aasbf.org </t>
  </si>
  <si>
    <t>BURKINA FASO</t>
  </si>
  <si>
    <t>Issoufou KOAMA</t>
  </si>
  <si>
    <t>TOTAUX</t>
  </si>
  <si>
    <t>IP 2000</t>
  </si>
  <si>
    <t>PADS</t>
  </si>
  <si>
    <t>Formation prevention</t>
  </si>
  <si>
    <t>CP CNLS (Fonds FSMOS)</t>
  </si>
  <si>
    <t>Formation plate forme ELSA, Sidaction</t>
  </si>
  <si>
    <t>Consortium AAS/SOS</t>
  </si>
  <si>
    <t>ENDA SANTE</t>
  </si>
  <si>
    <t>UNICEF/AAS</t>
  </si>
  <si>
    <t>ENDA SANTE / AAS</t>
  </si>
  <si>
    <t xml:space="preserve">FEDERATION WENDYAM </t>
  </si>
  <si>
    <t xml:space="preserve">PAMAC </t>
  </si>
  <si>
    <t>FEDERATION WENDYAM</t>
  </si>
  <si>
    <t xml:space="preserve"> PADS</t>
  </si>
  <si>
    <t xml:space="preserve">AAS </t>
  </si>
  <si>
    <t>RADIO FM ZORGHO</t>
  </si>
  <si>
    <t xml:space="preserve">AAS  </t>
  </si>
  <si>
    <t>PADS/AAS</t>
  </si>
  <si>
    <t xml:space="preserve"> PADS/AAS</t>
  </si>
  <si>
    <t>RAJS</t>
  </si>
  <si>
    <t>ZINIARE</t>
  </si>
  <si>
    <t>KOUPELA , POUYTENGA &amp; SINKANSE</t>
  </si>
  <si>
    <t xml:space="preserve"> </t>
  </si>
  <si>
    <t xml:space="preserve">$ US </t>
  </si>
  <si>
    <t xml:space="preserve">GLOBAL FINANCIAL REPORT
</t>
  </si>
  <si>
    <t>Prepared by Issoufou KOAMA</t>
  </si>
  <si>
    <t>Issoufou TIENDREBEOGO</t>
  </si>
  <si>
    <t xml:space="preserve">Operating account
</t>
  </si>
  <si>
    <t xml:space="preserve">   
Loads
 </t>
  </si>
  <si>
    <t xml:space="preserve">ACTION EDUCATION FOR THE HEALTH
</t>
  </si>
  <si>
    <t xml:space="preserve">Value in fcfa
</t>
  </si>
  <si>
    <t xml:space="preserve">Purchase of hardware (computers and scaneur)
</t>
  </si>
  <si>
    <t xml:space="preserve">I - Formation and mission
</t>
  </si>
  <si>
    <t xml:space="preserve">II - Direct support to PLHA
</t>
  </si>
  <si>
    <t xml:space="preserve">COMPONENT: SUPPORT FOR PLHA AT THE OASIS CENTRE 
</t>
  </si>
  <si>
    <t xml:space="preserve">Purchase of food product
</t>
  </si>
  <si>
    <t xml:space="preserve">Purchase med specialties and MEG
</t>
  </si>
  <si>
    <t xml:space="preserve">Examination fees; and consultation specialized
</t>
  </si>
  <si>
    <t xml:space="preserve">IV - Activities of accompagement to support for PLHIV
</t>
  </si>
  <si>
    <t>Discussion group</t>
  </si>
  <si>
    <t xml:space="preserve">Home and hospital visit </t>
  </si>
  <si>
    <t xml:space="preserve"> III - Support team </t>
  </si>
  <si>
    <t>Club of ART observance</t>
  </si>
  <si>
    <t>Community meals</t>
  </si>
  <si>
    <t>Therapeutic workshop</t>
  </si>
  <si>
    <t>Activity and accommodation at the home of observance</t>
  </si>
  <si>
    <t>psychological consultation</t>
  </si>
  <si>
    <t xml:space="preserve">  V - Operating expenses</t>
  </si>
  <si>
    <t>Diagnostic, therapeutic, viral load</t>
  </si>
  <si>
    <t xml:space="preserve">Office supplies
</t>
  </si>
  <si>
    <t>Fuel</t>
  </si>
  <si>
    <t xml:space="preserve"> Water &amp; electricity
</t>
  </si>
  <si>
    <t xml:space="preserve">Maintenance of equipment
</t>
  </si>
  <si>
    <t xml:space="preserve">Maintenance of premises
</t>
  </si>
  <si>
    <t xml:space="preserve">Bank charges
</t>
  </si>
  <si>
    <t xml:space="preserve">COMPONENT: SUPPORT FOR OVC IN THE OASIS CENTER
</t>
  </si>
  <si>
    <t xml:space="preserve">Tuition fees and school supplies
</t>
  </si>
  <si>
    <t xml:space="preserve">Activities of Awakening (summer camp, Christmas tree, activity ludic, cultural, school, PMTCT etc
</t>
  </si>
  <si>
    <t xml:space="preserve">Food support
</t>
  </si>
  <si>
    <t xml:space="preserve">home and hospital visit
</t>
  </si>
  <si>
    <t xml:space="preserve">Club of observance
</t>
  </si>
  <si>
    <t xml:space="preserve">COMPONENT: PREVENTION &amp; SCREENING
</t>
  </si>
  <si>
    <t xml:space="preserve">Organization of educational seminars, theatre forum, radio show
</t>
  </si>
  <si>
    <t xml:space="preserve">Organization of relaxing journey
</t>
  </si>
  <si>
    <t xml:space="preserve">diffusion of films on HIV/AIDS
</t>
  </si>
  <si>
    <t xml:space="preserve">Procurement of male condoms and gel
</t>
  </si>
  <si>
    <t xml:space="preserve">Supplementary investigation
</t>
  </si>
  <si>
    <t xml:space="preserve">Support for the purchase of medicines
 </t>
  </si>
  <si>
    <t xml:space="preserve">Supervision
</t>
  </si>
  <si>
    <t xml:space="preserve">Organization of monthly meetings of the leading MSM, TS etc
</t>
  </si>
  <si>
    <t>Home Visit</t>
  </si>
  <si>
    <t xml:space="preserve">Activity of tests screening
</t>
  </si>
  <si>
    <t xml:space="preserve">  Support team</t>
  </si>
  <si>
    <t xml:space="preserve">Administration and operation
</t>
  </si>
  <si>
    <t xml:space="preserve">   
Office supplies
 </t>
  </si>
  <si>
    <t xml:space="preserve">Water and electricity </t>
  </si>
  <si>
    <t xml:space="preserve">Animation material transport
</t>
  </si>
  <si>
    <t xml:space="preserve">Transportation and officers accommodation
</t>
  </si>
  <si>
    <t>The Office rental
l</t>
  </si>
  <si>
    <t xml:space="preserve">vigil </t>
  </si>
  <si>
    <t>fuel</t>
  </si>
  <si>
    <t>Purchase of equipment (computers)</t>
  </si>
  <si>
    <t>Staff training</t>
  </si>
  <si>
    <t>Vulnenarabilité border in West Africa</t>
  </si>
  <si>
    <t>Community-based distribution of condoms (05 associations)</t>
  </si>
  <si>
    <t>operation</t>
  </si>
  <si>
    <t xml:space="preserve">ZORGHO / GANZOURGOU PROVINCE </t>
  </si>
  <si>
    <t>PEC commumautaire Advisor</t>
  </si>
  <si>
    <t>Support group speech</t>
  </si>
  <si>
    <t>Support VAD / VAH</t>
  </si>
  <si>
    <t>Club support adherence</t>
  </si>
  <si>
    <t xml:space="preserve">Distribution of live </t>
  </si>
  <si>
    <t>Recreative activities</t>
  </si>
  <si>
    <t>Healthcare</t>
  </si>
  <si>
    <t>Output VISIT HOME / VISIT TO SCHOOL</t>
  </si>
  <si>
    <t>SMALL GRANT</t>
  </si>
  <si>
    <t>school supervision</t>
  </si>
  <si>
    <t>personal interview</t>
  </si>
  <si>
    <t>informal debate</t>
  </si>
  <si>
    <t>forum Theatre</t>
  </si>
  <si>
    <t>Screening activities</t>
  </si>
  <si>
    <t>contraceptifs</t>
  </si>
  <si>
    <t>Projetion movies</t>
  </si>
  <si>
    <t>radio AGR</t>
  </si>
  <si>
    <t>Office Supplies</t>
  </si>
  <si>
    <t>Communication costs</t>
  </si>
  <si>
    <t>personal motivation</t>
  </si>
  <si>
    <t>Water &amp; Electricity</t>
  </si>
  <si>
    <t>Agios bank</t>
  </si>
  <si>
    <t>rent</t>
  </si>
  <si>
    <t>Financial support to 13 associations and 15 female groups for activities against STI / HIV and Malaria</t>
  </si>
  <si>
    <t>Film Screening</t>
  </si>
  <si>
    <t>Purchase contraceptive product</t>
  </si>
  <si>
    <t>Broadcast spots on Radio</t>
  </si>
  <si>
    <t>OPERATION Ziniaré</t>
  </si>
  <si>
    <t>Wages and vacation of staff</t>
  </si>
  <si>
    <t>Monitoring Mission supervision</t>
  </si>
  <si>
    <t>Electricity</t>
  </si>
  <si>
    <t>Phone</t>
  </si>
  <si>
    <t>Rent</t>
  </si>
  <si>
    <t>Costs of bank charges</t>
  </si>
  <si>
    <t>Film screening</t>
  </si>
  <si>
    <t xml:space="preserve">Forum theatre </t>
  </si>
  <si>
    <t>Home visit</t>
  </si>
  <si>
    <t>TOTAL EXPENSES</t>
  </si>
  <si>
    <t>Remaining in banks and on hand at 31-12-11 (draft horse)</t>
  </si>
  <si>
    <t xml:space="preserve">TOTAL </t>
  </si>
  <si>
    <t>STATEMENT OF OPERATION</t>
  </si>
  <si>
    <t>products</t>
  </si>
  <si>
    <t>EDUCATION ACTION FOR HEALTH</t>
  </si>
  <si>
    <t>% Funding by donor</t>
  </si>
  <si>
    <t>PREVENTION &amp; HIV TESTING</t>
  </si>
  <si>
    <t>GRANT ASSOCITIONS</t>
  </si>
  <si>
    <t>AGR (ACTIVITY REVENUE GENERATOR)</t>
  </si>
  <si>
    <t>PREVENTION in Zorgho</t>
  </si>
  <si>
    <t>OPERATION in Zorgho</t>
  </si>
  <si>
    <t>GRANTS ASSOCIATIONS Ziniaré</t>
  </si>
  <si>
    <t>PREVENTION in ZINIARE</t>
  </si>
  <si>
    <t>OPERATION in Ziniaré</t>
  </si>
  <si>
    <t>Bank balance and cash to 31-12-2010 (draft horse)</t>
  </si>
  <si>
    <t>liability cash</t>
  </si>
  <si>
    <t>Visa President</t>
  </si>
  <si>
    <t>the Treasurer</t>
  </si>
  <si>
    <t>AAS GLOBAL SITUATION AT 31 DECEMBER 2011</t>
  </si>
  <si>
    <t>EMPLOYMENT</t>
  </si>
  <si>
    <t>Team management</t>
  </si>
  <si>
    <t>COMPONENT: CAPACITY</t>
  </si>
  <si>
    <t>COMPONENT: GRANT ASSOCITIONS</t>
  </si>
  <si>
    <t>COMPONENT: AGR (ACTIVITY REVENUE GENERATOR)</t>
  </si>
  <si>
    <t>COMPONENT: FUND PASSES</t>
  </si>
  <si>
    <t>COMPONENT: PREVENTION To Zorgho</t>
  </si>
  <si>
    <t>COMPONENT: GRANTS ASSOCIATIONS Ziniaré</t>
  </si>
  <si>
    <t>COMPONENT: PREVENTION in Ziniaré</t>
  </si>
  <si>
    <t>COMPONENT: PREVENTION To KOUPELA &amp; Cinkanse</t>
  </si>
  <si>
    <t>Telephone / Internet</t>
  </si>
  <si>
    <t>Maintenance of equipment</t>
  </si>
  <si>
    <t xml:space="preserve"> supported OF PLHIV</t>
  </si>
  <si>
    <t xml:space="preserve">supported OF OVC </t>
  </si>
  <si>
    <t>PREVENTION &amp; SCREENING</t>
  </si>
  <si>
    <t>GRANT ASSOCITIONS (COORDINATION)</t>
  </si>
  <si>
    <t>RENFORCEMRNT BUILDING</t>
  </si>
  <si>
    <t>FUND passes</t>
  </si>
  <si>
    <t>CASH BALANCE AT 31/12/11</t>
  </si>
  <si>
    <t>AAS/AAS GLOBAL SITUATION AT 31 DECEMBER 2011</t>
  </si>
  <si>
    <t>Supported OF PLHIV IN ZORGHO</t>
  </si>
  <si>
    <t>supported OF OVC IN ZORGHO</t>
  </si>
  <si>
    <t>PREVENTION AND SCREENING IN Zorgho</t>
  </si>
  <si>
    <t>OPERATION to Zorgho</t>
  </si>
  <si>
    <t>PREVENTION in Ziniaré</t>
  </si>
  <si>
    <t>OPERATION IN Ziniaré</t>
  </si>
  <si>
    <t>AAS/KOUPELA/Pouytenga/Cinkansé GLOBAL SITUATION 31 DECEMBRE 2011</t>
  </si>
  <si>
    <t>PREVENTION IN KOUPELA</t>
  </si>
  <si>
    <t>GRANTS RECEIVED AAS / KOUPELA</t>
  </si>
  <si>
    <t xml:space="preserve">RETAINED EARNINGS </t>
  </si>
  <si>
    <t>GRANTS RECEIVED AAS / Zorgho</t>
  </si>
  <si>
    <t>GRANTS RECEIVED AAS OUAGA</t>
  </si>
  <si>
    <t>means</t>
  </si>
  <si>
    <t>wording</t>
  </si>
  <si>
    <t>amount</t>
  </si>
  <si>
    <t>COMPONENT:  supported OF PLHIV In Zorgho</t>
  </si>
  <si>
    <t>COMPONENT: supported OF OVC IN ZORGHO IN Zorgho</t>
  </si>
  <si>
    <t>Supported OF PLHIV</t>
  </si>
  <si>
    <t>Supported OF PLHIV in ZORGHO</t>
  </si>
  <si>
    <t>supported OF OVC IN Zorgho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</si>
</sst>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-* #,##0.00\ [$€-1]_-;\-* #,##0.00\ [$€-1]_-;_-* &quot;-&quot;??\ [$€-1]_-"/>
    <numFmt numFmtId="173" formatCode="_-* #,##0.00\ _F_-;\-* #,##0.00\ _F_-;_-* &quot;-&quot;??\ _F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\ &quot;F&quot;_-;\-* #,##0\ &quot;F&quot;_-;_-* &quot;-&quot;\ &quot;F&quot;_-;_-@_-"/>
    <numFmt numFmtId="177" formatCode="0;[Red]0"/>
    <numFmt numFmtId="178" formatCode="dd/mm/yy;@"/>
    <numFmt numFmtId="179" formatCode="_-* #,##0.0\ _€_-;\-* #,##0.0\ _€_-;_-* &quot;-&quot;??\ _€_-;_-@_-"/>
    <numFmt numFmtId="180" formatCode="_-* #,##0\ _€_-;\-* #,##0\ _€_-;_-* &quot;-&quot;??\ _€_-;_-@_-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dd/mm/yy"/>
    <numFmt numFmtId="185" formatCode="0.0%"/>
    <numFmt numFmtId="186" formatCode="#,##0_ ;\-#,##0\ 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lexanderBecker-Medium"/>
      <family val="0"/>
    </font>
    <font>
      <b/>
      <sz val="16"/>
      <name val="AlexanderBecker-Heavy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b/>
      <i/>
      <sz val="14"/>
      <name val="Arial Black"/>
      <family val="2"/>
    </font>
    <font>
      <sz val="14"/>
      <name val="Arial Black"/>
      <family val="2"/>
    </font>
    <font>
      <b/>
      <u val="single"/>
      <sz val="12"/>
      <name val="Times New Roman"/>
      <family val="1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17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" fontId="0" fillId="0" borderId="0" xfId="0" applyNumberFormat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180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15" fillId="33" borderId="0" xfId="55" applyNumberFormat="1" applyFont="1" applyFill="1" applyBorder="1" applyAlignment="1">
      <alignment wrapText="1"/>
      <protection/>
    </xf>
    <xf numFmtId="0" fontId="16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6" xfId="55" applyFont="1" applyBorder="1">
      <alignment/>
      <protection/>
    </xf>
    <xf numFmtId="0" fontId="3" fillId="0" borderId="10" xfId="0" applyFont="1" applyBorder="1" applyAlignment="1">
      <alignment vertical="top" wrapText="1"/>
    </xf>
    <xf numFmtId="0" fontId="0" fillId="0" borderId="17" xfId="0" applyFont="1" applyFill="1" applyBorder="1" applyAlignment="1">
      <alignment/>
    </xf>
    <xf numFmtId="0" fontId="17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4" fillId="0" borderId="18" xfId="0" applyFont="1" applyBorder="1" applyAlignment="1">
      <alignment horizontal="right"/>
    </xf>
    <xf numFmtId="0" fontId="17" fillId="0" borderId="0" xfId="0" applyFont="1" applyBorder="1" applyAlignment="1">
      <alignment/>
    </xf>
    <xf numFmtId="49" fontId="15" fillId="33" borderId="10" xfId="55" applyNumberFormat="1" applyFont="1" applyFill="1" applyBorder="1" applyAlignment="1">
      <alignment wrapText="1"/>
      <protection/>
    </xf>
    <xf numFmtId="0" fontId="3" fillId="0" borderId="19" xfId="0" applyFont="1" applyBorder="1" applyAlignment="1">
      <alignment vertical="top"/>
    </xf>
    <xf numFmtId="0" fontId="0" fillId="33" borderId="10" xfId="0" applyFont="1" applyFill="1" applyBorder="1" applyAlignment="1">
      <alignment/>
    </xf>
    <xf numFmtId="180" fontId="0" fillId="33" borderId="20" xfId="48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3" fillId="33" borderId="21" xfId="0" applyFont="1" applyFill="1" applyBorder="1" applyAlignment="1">
      <alignment horizontal="center" wrapText="1"/>
    </xf>
    <xf numFmtId="180" fontId="3" fillId="33" borderId="20" xfId="48" applyNumberFormat="1" applyFont="1" applyFill="1" applyBorder="1" applyAlignment="1">
      <alignment/>
    </xf>
    <xf numFmtId="180" fontId="0" fillId="33" borderId="20" xfId="48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80" fontId="0" fillId="33" borderId="0" xfId="48" applyNumberFormat="1" applyFont="1" applyFill="1" applyBorder="1" applyAlignment="1">
      <alignment/>
    </xf>
    <xf numFmtId="180" fontId="3" fillId="33" borderId="0" xfId="48" applyNumberFormat="1" applyFont="1" applyFill="1" applyBorder="1" applyAlignment="1">
      <alignment/>
    </xf>
    <xf numFmtId="180" fontId="0" fillId="33" borderId="0" xfId="48" applyNumberFormat="1" applyFont="1" applyFill="1" applyAlignment="1">
      <alignment/>
    </xf>
    <xf numFmtId="49" fontId="0" fillId="33" borderId="22" xfId="55" applyNumberFormat="1" applyFont="1" applyFill="1" applyBorder="1" applyAlignment="1">
      <alignment/>
      <protection/>
    </xf>
    <xf numFmtId="49" fontId="0" fillId="33" borderId="10" xfId="55" applyNumberFormat="1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80" fontId="3" fillId="0" borderId="0" xfId="48" applyNumberFormat="1" applyFont="1" applyAlignment="1">
      <alignment/>
    </xf>
    <xf numFmtId="0" fontId="17" fillId="0" borderId="17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23" xfId="0" applyBorder="1" applyAlignment="1">
      <alignment/>
    </xf>
    <xf numFmtId="0" fontId="13" fillId="33" borderId="16" xfId="0" applyFont="1" applyFill="1" applyBorder="1" applyAlignment="1">
      <alignment/>
    </xf>
    <xf numFmtId="180" fontId="3" fillId="33" borderId="16" xfId="48" applyNumberFormat="1" applyFont="1" applyFill="1" applyBorder="1" applyAlignment="1">
      <alignment/>
    </xf>
    <xf numFmtId="180" fontId="0" fillId="33" borderId="16" xfId="48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80" fontId="0" fillId="33" borderId="16" xfId="48" applyNumberFormat="1" applyFont="1" applyFill="1" applyBorder="1" applyAlignment="1">
      <alignment/>
    </xf>
    <xf numFmtId="180" fontId="0" fillId="33" borderId="16" xfId="48" applyNumberFormat="1" applyFont="1" applyFill="1" applyBorder="1" applyAlignment="1">
      <alignment/>
    </xf>
    <xf numFmtId="180" fontId="0" fillId="33" borderId="16" xfId="0" applyNumberFormat="1" applyFill="1" applyBorder="1" applyAlignment="1">
      <alignment/>
    </xf>
    <xf numFmtId="180" fontId="3" fillId="33" borderId="24" xfId="48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80" fontId="0" fillId="0" borderId="2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vertical="top"/>
    </xf>
    <xf numFmtId="0" fontId="3" fillId="0" borderId="18" xfId="0" applyFont="1" applyBorder="1" applyAlignment="1">
      <alignment/>
    </xf>
    <xf numFmtId="180" fontId="13" fillId="33" borderId="21" xfId="48" applyNumberFormat="1" applyFont="1" applyFill="1" applyBorder="1" applyAlignment="1">
      <alignment wrapText="1"/>
    </xf>
    <xf numFmtId="180" fontId="3" fillId="33" borderId="20" xfId="48" applyNumberFormat="1" applyFont="1" applyFill="1" applyBorder="1" applyAlignment="1">
      <alignment wrapText="1"/>
    </xf>
    <xf numFmtId="180" fontId="0" fillId="33" borderId="20" xfId="48" applyNumberFormat="1" applyFont="1" applyFill="1" applyBorder="1" applyAlignment="1">
      <alignment wrapText="1"/>
    </xf>
    <xf numFmtId="180" fontId="3" fillId="33" borderId="26" xfId="48" applyNumberFormat="1" applyFont="1" applyFill="1" applyBorder="1" applyAlignment="1">
      <alignment wrapText="1"/>
    </xf>
    <xf numFmtId="180" fontId="0" fillId="33" borderId="27" xfId="48" applyNumberFormat="1" applyFont="1" applyFill="1" applyBorder="1" applyAlignment="1">
      <alignment/>
    </xf>
    <xf numFmtId="180" fontId="0" fillId="0" borderId="20" xfId="48" applyNumberFormat="1" applyFont="1" applyBorder="1" applyAlignment="1">
      <alignment/>
    </xf>
    <xf numFmtId="180" fontId="3" fillId="33" borderId="28" xfId="48" applyNumberFormat="1" applyFont="1" applyFill="1" applyBorder="1" applyAlignment="1">
      <alignment/>
    </xf>
    <xf numFmtId="0" fontId="13" fillId="0" borderId="21" xfId="0" applyFont="1" applyBorder="1" applyAlignment="1">
      <alignment vertical="top" wrapText="1"/>
    </xf>
    <xf numFmtId="0" fontId="0" fillId="0" borderId="20" xfId="0" applyBorder="1" applyAlignment="1">
      <alignment horizontal="center"/>
    </xf>
    <xf numFmtId="10" fontId="0" fillId="0" borderId="20" xfId="56" applyNumberFormat="1" applyFont="1" applyBorder="1" applyAlignment="1">
      <alignment horizontal="center"/>
    </xf>
    <xf numFmtId="9" fontId="0" fillId="0" borderId="20" xfId="56" applyFont="1" applyBorder="1" applyAlignment="1">
      <alignment horizontal="center"/>
    </xf>
    <xf numFmtId="10" fontId="0" fillId="0" borderId="20" xfId="0" applyNumberFormat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Border="1" applyAlignment="1">
      <alignment/>
    </xf>
    <xf numFmtId="180" fontId="0" fillId="33" borderId="0" xfId="48" applyNumberFormat="1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62" fillId="0" borderId="10" xfId="0" applyFont="1" applyBorder="1" applyAlignment="1">
      <alignment/>
    </xf>
    <xf numFmtId="0" fontId="63" fillId="0" borderId="29" xfId="0" applyFont="1" applyBorder="1" applyAlignment="1">
      <alignment wrapText="1"/>
    </xf>
    <xf numFmtId="0" fontId="63" fillId="0" borderId="29" xfId="0" applyFont="1" applyBorder="1" applyAlignment="1">
      <alignment/>
    </xf>
    <xf numFmtId="0" fontId="63" fillId="0" borderId="30" xfId="0" applyFont="1" applyBorder="1" applyAlignment="1">
      <alignment/>
    </xf>
    <xf numFmtId="0" fontId="64" fillId="0" borderId="30" xfId="0" applyFont="1" applyBorder="1" applyAlignment="1">
      <alignment/>
    </xf>
    <xf numFmtId="3" fontId="0" fillId="0" borderId="0" xfId="0" applyNumberFormat="1" applyBorder="1" applyAlignment="1">
      <alignment/>
    </xf>
    <xf numFmtId="3" fontId="63" fillId="0" borderId="0" xfId="0" applyNumberFormat="1" applyFont="1" applyBorder="1" applyAlignment="1">
      <alignment/>
    </xf>
    <xf numFmtId="0" fontId="62" fillId="0" borderId="30" xfId="0" applyFont="1" applyBorder="1" applyAlignment="1">
      <alignment/>
    </xf>
    <xf numFmtId="0" fontId="63" fillId="0" borderId="16" xfId="0" applyFont="1" applyBorder="1" applyAlignment="1">
      <alignment/>
    </xf>
    <xf numFmtId="3" fontId="63" fillId="0" borderId="20" xfId="0" applyNumberFormat="1" applyFont="1" applyBorder="1" applyAlignment="1">
      <alignment/>
    </xf>
    <xf numFmtId="3" fontId="64" fillId="0" borderId="20" xfId="0" applyNumberFormat="1" applyFont="1" applyBorder="1" applyAlignment="1">
      <alignment/>
    </xf>
    <xf numFmtId="180" fontId="3" fillId="33" borderId="25" xfId="48" applyNumberFormat="1" applyFont="1" applyFill="1" applyBorder="1" applyAlignment="1">
      <alignment/>
    </xf>
    <xf numFmtId="49" fontId="15" fillId="33" borderId="31" xfId="55" applyNumberFormat="1" applyFont="1" applyFill="1" applyBorder="1" applyAlignment="1">
      <alignment wrapText="1"/>
      <protection/>
    </xf>
    <xf numFmtId="180" fontId="0" fillId="0" borderId="0" xfId="50" applyNumberFormat="1" applyFont="1" applyBorder="1" applyAlignment="1">
      <alignment/>
    </xf>
    <xf numFmtId="180" fontId="63" fillId="0" borderId="22" xfId="48" applyNumberFormat="1" applyFont="1" applyBorder="1" applyAlignment="1">
      <alignment/>
    </xf>
    <xf numFmtId="180" fontId="63" fillId="0" borderId="30" xfId="48" applyNumberFormat="1" applyFont="1" applyBorder="1" applyAlignment="1">
      <alignment/>
    </xf>
    <xf numFmtId="180" fontId="64" fillId="0" borderId="30" xfId="48" applyNumberFormat="1" applyFont="1" applyBorder="1" applyAlignment="1">
      <alignment/>
    </xf>
    <xf numFmtId="180" fontId="0" fillId="33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180" fontId="0" fillId="34" borderId="16" xfId="48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3" fontId="26" fillId="0" borderId="0" xfId="48" applyNumberFormat="1" applyFont="1" applyFill="1" applyBorder="1" applyAlignment="1">
      <alignment/>
    </xf>
    <xf numFmtId="0" fontId="0" fillId="0" borderId="22" xfId="54" applyFont="1" applyBorder="1">
      <alignment/>
      <protection/>
    </xf>
    <xf numFmtId="0" fontId="13" fillId="0" borderId="22" xfId="54" applyFont="1" applyBorder="1" applyAlignment="1">
      <alignment/>
      <protection/>
    </xf>
    <xf numFmtId="180" fontId="13" fillId="0" borderId="22" xfId="54" applyNumberFormat="1" applyFont="1" applyBorder="1" applyAlignment="1">
      <alignment/>
      <protection/>
    </xf>
    <xf numFmtId="0" fontId="0" fillId="0" borderId="22" xfId="54" applyBorder="1">
      <alignment/>
      <protection/>
    </xf>
    <xf numFmtId="180" fontId="0" fillId="0" borderId="32" xfId="50" applyNumberFormat="1" applyFont="1" applyBorder="1" applyAlignment="1">
      <alignment/>
    </xf>
    <xf numFmtId="0" fontId="0" fillId="0" borderId="22" xfId="54" applyFont="1" applyBorder="1" applyAlignment="1">
      <alignment vertical="top"/>
      <protection/>
    </xf>
    <xf numFmtId="180" fontId="0" fillId="0" borderId="22" xfId="50" applyNumberFormat="1" applyFont="1" applyBorder="1" applyAlignment="1">
      <alignment/>
    </xf>
    <xf numFmtId="0" fontId="0" fillId="0" borderId="22" xfId="54" applyFont="1" applyBorder="1" applyAlignment="1">
      <alignment/>
      <protection/>
    </xf>
    <xf numFmtId="186" fontId="0" fillId="0" borderId="22" xfId="50" applyNumberFormat="1" applyFont="1" applyBorder="1" applyAlignment="1">
      <alignment/>
    </xf>
    <xf numFmtId="0" fontId="0" fillId="0" borderId="10" xfId="54" applyFont="1" applyBorder="1">
      <alignment/>
      <protection/>
    </xf>
    <xf numFmtId="180" fontId="3" fillId="0" borderId="22" xfId="54" applyNumberFormat="1" applyFont="1" applyBorder="1">
      <alignment/>
      <protection/>
    </xf>
    <xf numFmtId="180" fontId="0" fillId="33" borderId="22" xfId="50" applyNumberFormat="1" applyFont="1" applyFill="1" applyBorder="1" applyAlignment="1">
      <alignment/>
    </xf>
    <xf numFmtId="0" fontId="3" fillId="0" borderId="22" xfId="54" applyFont="1" applyBorder="1">
      <alignment/>
      <protection/>
    </xf>
    <xf numFmtId="180" fontId="3" fillId="0" borderId="22" xfId="5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48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3" fontId="26" fillId="0" borderId="0" xfId="48" applyNumberFormat="1" applyFont="1" applyBorder="1" applyAlignment="1">
      <alignment/>
    </xf>
    <xf numFmtId="180" fontId="3" fillId="0" borderId="0" xfId="48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0" xfId="54" applyFont="1" applyBorder="1">
      <alignment/>
      <protection/>
    </xf>
    <xf numFmtId="180" fontId="0" fillId="0" borderId="32" xfId="48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0" fontId="0" fillId="0" borderId="26" xfId="56" applyNumberFormat="1" applyFont="1" applyBorder="1" applyAlignment="1">
      <alignment horizontal="center"/>
    </xf>
    <xf numFmtId="10" fontId="0" fillId="0" borderId="33" xfId="56" applyNumberFormat="1" applyFont="1" applyBorder="1" applyAlignment="1">
      <alignment horizontal="center"/>
    </xf>
    <xf numFmtId="10" fontId="0" fillId="0" borderId="28" xfId="56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4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13" fillId="33" borderId="2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/>
    </xf>
    <xf numFmtId="49" fontId="15" fillId="33" borderId="30" xfId="55" applyNumberFormat="1" applyFont="1" applyFill="1" applyBorder="1" applyAlignment="1">
      <alignment wrapText="1"/>
      <protection/>
    </xf>
    <xf numFmtId="0" fontId="17" fillId="0" borderId="10" xfId="0" applyNumberFormat="1" applyFont="1" applyFill="1" applyBorder="1" applyAlignment="1">
      <alignment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0" fontId="65" fillId="0" borderId="0" xfId="0" applyFont="1" applyAlignment="1">
      <alignment/>
    </xf>
    <xf numFmtId="0" fontId="0" fillId="33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54" applyFont="1" applyBorder="1" applyAlignment="1">
      <alignment horizontal="center"/>
      <protection/>
    </xf>
    <xf numFmtId="0" fontId="0" fillId="0" borderId="32" xfId="54" applyFont="1" applyBorder="1" applyAlignment="1">
      <alignment horizontal="center"/>
      <protection/>
    </xf>
    <xf numFmtId="0" fontId="0" fillId="0" borderId="32" xfId="54" applyBorder="1" applyAlignment="1">
      <alignment horizontal="center"/>
      <protection/>
    </xf>
    <xf numFmtId="0" fontId="25" fillId="0" borderId="0" xfId="54" applyFont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Objet de la dépens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2409825</xdr:colOff>
      <xdr:row>23</xdr:row>
      <xdr:rowOff>133350</xdr:rowOff>
    </xdr:from>
    <xdr:to>
      <xdr:col>0</xdr:col>
      <xdr:colOff>3762375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4419600"/>
          <a:ext cx="1352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857250</xdr:colOff>
      <xdr:row>2</xdr:row>
      <xdr:rowOff>133350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85725</xdr:rowOff>
    </xdr:from>
    <xdr:to>
      <xdr:col>2</xdr:col>
      <xdr:colOff>666750</xdr:colOff>
      <xdr:row>3</xdr:row>
      <xdr:rowOff>47625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57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\BAN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CIA-B 01"/>
      <sheetName val="BICIA-B 02"/>
      <sheetName val="BICIA-B 03"/>
      <sheetName val="BICIA-B 04"/>
      <sheetName val="BICIA-B 05"/>
      <sheetName val="BICIA-B 06"/>
      <sheetName val="BICIA-B 07"/>
      <sheetName val="BICIA-B 08"/>
      <sheetName val="BICIA-B 09 "/>
      <sheetName val="BICIA-B FEVE"/>
      <sheetName val="BICIA-B Koupéla"/>
      <sheetName val="SGBB PADS"/>
      <sheetName val="SGBB OASIS"/>
      <sheetName val="Atlantique OASIS"/>
      <sheetName val="Atlantique Cinkansé"/>
      <sheetName val="Agios de Bq 01"/>
      <sheetName val="Agios de Bq 02"/>
      <sheetName val="Agios de Bq 03"/>
      <sheetName val="Agios de Bq 04"/>
      <sheetName val="Agios de Bq 05"/>
      <sheetName val="Agios de Bq 06"/>
      <sheetName val="Agios de Bq 07"/>
      <sheetName val="Agios de Bq 08"/>
      <sheetName val="Agios de Bq 09"/>
      <sheetName val="Agios de Bicia-b FEVE"/>
      <sheetName val="Agios de Bicia-b Koupéla"/>
      <sheetName val="Agios de SGBB PADS"/>
      <sheetName val="Agios de SGBB OASIS"/>
      <sheetName val="Agios Bq Atlantique OASIS"/>
      <sheetName val="Agios Bq Atlantique Sinkansé"/>
      <sheetName val="AGIOS TOTAL DE 2011"/>
      <sheetName val="SOLDE BICIA-B 01"/>
      <sheetName val="SOLDE BICIA-B 02"/>
      <sheetName val="SOLDE BICIA-B 03"/>
      <sheetName val="SOLDE BICIA-B 04"/>
      <sheetName val="SOLDE BICIA-B 05"/>
      <sheetName val="SOLDE BICIA-B 06"/>
      <sheetName val="SOLDE BICIA-B 07"/>
      <sheetName val="SOLDE BICIA-B 08"/>
      <sheetName val="SOLDE BICIA-B 09"/>
      <sheetName val="SOLDE BICIA-B FEVE"/>
      <sheetName val="SOLDE BICIA-B Koupéla"/>
      <sheetName val="SOLDE SGBB PADS"/>
      <sheetName val="SOLDE SGBB OASIS"/>
      <sheetName val="SOLDE Bq Atlantique OASIS"/>
      <sheetName val="SOLDE Bq Atlantique Cinkansé"/>
    </sheetNames>
    <sheetDataSet>
      <sheetData sheetId="1">
        <row r="17">
          <cell r="E17">
            <v>2318935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="110" zoomScaleNormal="110" zoomScalePageLayoutView="0" workbookViewId="0" topLeftCell="A2">
      <selection activeCell="A267" sqref="A267"/>
    </sheetView>
  </sheetViews>
  <sheetFormatPr defaultColWidth="11.421875" defaultRowHeight="12.75"/>
  <cols>
    <col min="1" max="1" width="58.8515625" style="0" customWidth="1"/>
    <col min="2" max="2" width="15.421875" style="32" customWidth="1"/>
    <col min="3" max="3" width="14.00390625" style="0" customWidth="1"/>
    <col min="4" max="4" width="15.7109375" style="0" customWidth="1"/>
    <col min="5" max="5" width="14.8515625" style="85" customWidth="1"/>
    <col min="6" max="7" width="13.8515625" style="85" bestFit="1" customWidth="1"/>
    <col min="8" max="8" width="12.8515625" style="0" bestFit="1" customWidth="1"/>
    <col min="9" max="9" width="11.8515625" style="0" bestFit="1" customWidth="1"/>
  </cols>
  <sheetData>
    <row r="1" spans="1:3" ht="22.5">
      <c r="A1" s="160" t="s">
        <v>18</v>
      </c>
      <c r="B1" s="160"/>
      <c r="C1" s="160"/>
    </row>
    <row r="2" spans="1:3" ht="22.5">
      <c r="A2" s="161" t="s">
        <v>19</v>
      </c>
      <c r="B2" s="161"/>
      <c r="C2" s="161"/>
    </row>
    <row r="3" spans="1:3" ht="15.75">
      <c r="A3" s="162" t="s">
        <v>20</v>
      </c>
      <c r="B3" s="162"/>
      <c r="C3" s="162"/>
    </row>
    <row r="4" spans="1:3" ht="15.75">
      <c r="A4" s="162" t="s">
        <v>21</v>
      </c>
      <c r="B4" s="162"/>
      <c r="C4" s="162"/>
    </row>
    <row r="5" spans="1:3" ht="15.75">
      <c r="A5" s="163" t="s">
        <v>22</v>
      </c>
      <c r="B5" s="163"/>
      <c r="C5" s="163"/>
    </row>
    <row r="6" spans="1:3" ht="12.75" customHeight="1" thickBot="1">
      <c r="A6" s="164" t="s">
        <v>23</v>
      </c>
      <c r="B6" s="164"/>
      <c r="C6" s="164"/>
    </row>
    <row r="7" ht="13.5" thickTop="1"/>
    <row r="8" ht="12.75"/>
    <row r="9" ht="12.75"/>
    <row r="10" ht="12.75"/>
    <row r="11" ht="12.75"/>
    <row r="12" ht="12.75"/>
    <row r="13" ht="12.75"/>
    <row r="14" ht="12.75"/>
    <row r="15" ht="12.75"/>
    <row r="16" ht="12.75"/>
    <row r="17" spans="1:3" ht="20.25">
      <c r="A17" s="165" t="s">
        <v>49</v>
      </c>
      <c r="B17" s="165"/>
      <c r="C17" s="165"/>
    </row>
    <row r="18" spans="1:3" ht="20.25">
      <c r="A18" s="166">
        <v>2011</v>
      </c>
      <c r="B18" s="166"/>
      <c r="C18" s="166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1:3" ht="12.75">
      <c r="A45" t="s">
        <v>50</v>
      </c>
      <c r="C45" s="3">
        <v>41030</v>
      </c>
    </row>
    <row r="46" ht="12.75"/>
    <row r="47" ht="12.75"/>
    <row r="48" ht="12.75"/>
    <row r="49" ht="12.75"/>
    <row r="50" spans="1:3" ht="13.5" thickBot="1">
      <c r="A50" s="4"/>
      <c r="B50" s="33"/>
      <c r="C50" s="4"/>
    </row>
    <row r="51" spans="1:2" ht="15.75">
      <c r="A51" s="5" t="s">
        <v>3</v>
      </c>
      <c r="B51" s="34"/>
    </row>
    <row r="52" spans="1:3" ht="15">
      <c r="A52" s="167" t="s">
        <v>4</v>
      </c>
      <c r="B52" s="167"/>
      <c r="C52" s="167"/>
    </row>
    <row r="53" spans="1:3" ht="15">
      <c r="A53" s="167" t="s">
        <v>5</v>
      </c>
      <c r="B53" s="167"/>
      <c r="C53" s="167"/>
    </row>
    <row r="54" spans="1:3" ht="15">
      <c r="A54" s="6" t="s">
        <v>6</v>
      </c>
      <c r="B54" s="35"/>
      <c r="C54" s="7"/>
    </row>
    <row r="55" spans="1:3" ht="13.5">
      <c r="A55" s="168" t="s">
        <v>7</v>
      </c>
      <c r="B55" s="168"/>
      <c r="C55" s="168"/>
    </row>
    <row r="56" ht="12.75"/>
    <row r="57" spans="1:2" ht="15.75">
      <c r="A57" s="143" t="s">
        <v>52</v>
      </c>
      <c r="B57" s="36"/>
    </row>
    <row r="58" ht="13.5" thickBot="1"/>
    <row r="59" spans="1:3" ht="33.75">
      <c r="A59" s="50" t="s">
        <v>53</v>
      </c>
      <c r="B59" s="37" t="s">
        <v>54</v>
      </c>
      <c r="C59" s="57"/>
    </row>
    <row r="60" spans="1:3" ht="13.5" thickBot="1">
      <c r="A60" s="29"/>
      <c r="B60" s="144" t="s">
        <v>55</v>
      </c>
      <c r="C60" s="142" t="s">
        <v>48</v>
      </c>
    </row>
    <row r="61" spans="1:7" ht="12.75">
      <c r="A61" s="51"/>
      <c r="B61" s="58"/>
      <c r="C61" s="66"/>
      <c r="E61" s="124"/>
      <c r="F61" s="124"/>
      <c r="G61" s="124"/>
    </row>
    <row r="62" spans="1:7" ht="25.5">
      <c r="A62" s="14" t="s">
        <v>59</v>
      </c>
      <c r="B62" s="59">
        <f>SUM(B63:B95)</f>
        <v>140797376</v>
      </c>
      <c r="C62" s="68">
        <f>SUM(B62/500)</f>
        <v>281594.752</v>
      </c>
      <c r="D62" s="48"/>
      <c r="E62" s="124"/>
      <c r="F62" s="124"/>
      <c r="G62" s="124"/>
    </row>
    <row r="63" spans="1:8" ht="12.75">
      <c r="A63" s="18" t="s">
        <v>9</v>
      </c>
      <c r="B63" s="59"/>
      <c r="C63" s="68">
        <f aca="true" t="shared" si="0" ref="C63:C128">SUM(B63/500)</f>
        <v>0</v>
      </c>
      <c r="E63" s="125"/>
      <c r="F63" s="124"/>
      <c r="H63" s="9"/>
    </row>
    <row r="64" spans="1:5" ht="12.75">
      <c r="A64" s="13"/>
      <c r="B64" s="60"/>
      <c r="C64" s="68">
        <f t="shared" si="0"/>
        <v>0</v>
      </c>
      <c r="E64" s="124"/>
    </row>
    <row r="65" spans="1:3" ht="12.75">
      <c r="A65" s="145" t="s">
        <v>56</v>
      </c>
      <c r="B65" s="60">
        <v>776632</v>
      </c>
      <c r="C65" s="68">
        <f t="shared" si="0"/>
        <v>1553.264</v>
      </c>
    </row>
    <row r="66" spans="1:3" ht="12.75">
      <c r="A66" s="13"/>
      <c r="B66" s="60"/>
      <c r="C66" s="68">
        <f t="shared" si="0"/>
        <v>0</v>
      </c>
    </row>
    <row r="67" spans="1:3" ht="12.75">
      <c r="A67" s="146" t="s">
        <v>57</v>
      </c>
      <c r="B67" s="60">
        <v>0</v>
      </c>
      <c r="C67" s="68">
        <f t="shared" si="0"/>
        <v>0</v>
      </c>
    </row>
    <row r="68" spans="1:3" ht="12.75">
      <c r="A68" s="1" t="s">
        <v>0</v>
      </c>
      <c r="B68" s="60">
        <v>1749000</v>
      </c>
      <c r="C68" s="68">
        <f t="shared" si="0"/>
        <v>3498</v>
      </c>
    </row>
    <row r="69" spans="1:3" ht="12.75">
      <c r="A69" s="1"/>
      <c r="B69" s="60">
        <v>0</v>
      </c>
      <c r="C69" s="68">
        <f t="shared" si="0"/>
        <v>0</v>
      </c>
    </row>
    <row r="70" spans="1:5" ht="12.75">
      <c r="A70" s="148" t="s">
        <v>58</v>
      </c>
      <c r="B70" s="60">
        <v>0</v>
      </c>
      <c r="C70" s="68">
        <f t="shared" si="0"/>
        <v>0</v>
      </c>
      <c r="E70" s="124"/>
    </row>
    <row r="71" spans="1:5" ht="12.75">
      <c r="A71" s="149" t="s">
        <v>60</v>
      </c>
      <c r="B71" s="60">
        <v>32004701</v>
      </c>
      <c r="C71" s="68">
        <f t="shared" si="0"/>
        <v>64009.402</v>
      </c>
      <c r="D71" s="46"/>
      <c r="E71" s="124"/>
    </row>
    <row r="72" spans="1:4" ht="12.75">
      <c r="A72" s="150" t="s">
        <v>61</v>
      </c>
      <c r="B72" s="60">
        <v>9952778</v>
      </c>
      <c r="C72" s="68">
        <f t="shared" si="0"/>
        <v>19905.556</v>
      </c>
      <c r="D72" s="9"/>
    </row>
    <row r="73" spans="1:4" ht="12.75">
      <c r="A73" s="150" t="s">
        <v>62</v>
      </c>
      <c r="B73" s="60">
        <v>8383398</v>
      </c>
      <c r="C73" s="68">
        <f t="shared" si="0"/>
        <v>16766.796</v>
      </c>
      <c r="D73" s="9"/>
    </row>
    <row r="74" spans="1:5" ht="12.75">
      <c r="A74" s="70" t="s">
        <v>73</v>
      </c>
      <c r="B74" s="60">
        <v>14935742</v>
      </c>
      <c r="C74" s="68">
        <f t="shared" si="0"/>
        <v>29871.484</v>
      </c>
      <c r="E74" s="124"/>
    </row>
    <row r="75" spans="1:9" ht="12.75">
      <c r="A75" s="151"/>
      <c r="B75" s="61"/>
      <c r="C75" s="68">
        <f t="shared" si="0"/>
        <v>0</v>
      </c>
      <c r="I75" s="9"/>
    </row>
    <row r="76" spans="1:9" ht="12.75">
      <c r="A76" s="1"/>
      <c r="B76" s="59">
        <v>0</v>
      </c>
      <c r="C76" s="68">
        <f t="shared" si="0"/>
        <v>0</v>
      </c>
      <c r="E76" s="124"/>
      <c r="I76" s="9"/>
    </row>
    <row r="77" spans="1:9" ht="12.75">
      <c r="A77" s="146" t="s">
        <v>66</v>
      </c>
      <c r="B77" s="60">
        <v>43779582</v>
      </c>
      <c r="C77" s="68">
        <f t="shared" si="0"/>
        <v>87559.164</v>
      </c>
      <c r="D77" s="9"/>
      <c r="E77" s="124"/>
      <c r="I77" s="9"/>
    </row>
    <row r="78" spans="1:5" ht="12.75">
      <c r="A78" s="21"/>
      <c r="B78" s="60">
        <v>0</v>
      </c>
      <c r="C78" s="68">
        <f t="shared" si="0"/>
        <v>0</v>
      </c>
      <c r="E78" s="124"/>
    </row>
    <row r="79" spans="1:7" ht="12.75">
      <c r="A79" s="22" t="s">
        <v>63</v>
      </c>
      <c r="B79" s="59"/>
      <c r="C79" s="68">
        <f t="shared" si="0"/>
        <v>0</v>
      </c>
      <c r="E79" s="126"/>
      <c r="G79" s="124"/>
    </row>
    <row r="80" spans="1:5" ht="12.75">
      <c r="A80" s="147" t="s">
        <v>65</v>
      </c>
      <c r="B80" s="60">
        <v>1801000</v>
      </c>
      <c r="C80" s="68">
        <f t="shared" si="0"/>
        <v>3602</v>
      </c>
      <c r="D80" s="9"/>
      <c r="E80" s="86"/>
    </row>
    <row r="81" spans="1:5" ht="12.75">
      <c r="A81" s="2" t="s">
        <v>64</v>
      </c>
      <c r="B81" s="60">
        <v>1980000</v>
      </c>
      <c r="C81" s="68">
        <f t="shared" si="0"/>
        <v>3960</v>
      </c>
      <c r="E81" s="86"/>
    </row>
    <row r="82" spans="1:6" ht="12.75">
      <c r="A82" s="2" t="s">
        <v>67</v>
      </c>
      <c r="B82" s="60">
        <v>1175000</v>
      </c>
      <c r="C82" s="68">
        <f t="shared" si="0"/>
        <v>2350</v>
      </c>
      <c r="E82" s="86"/>
      <c r="F82" s="124"/>
    </row>
    <row r="83" spans="1:5" ht="12.75">
      <c r="A83" s="2" t="s">
        <v>68</v>
      </c>
      <c r="B83" s="60">
        <v>1631000</v>
      </c>
      <c r="C83" s="68">
        <f t="shared" si="0"/>
        <v>3262</v>
      </c>
      <c r="E83" s="86"/>
    </row>
    <row r="84" spans="1:6" ht="12.75">
      <c r="A84" s="2" t="s">
        <v>69</v>
      </c>
      <c r="B84" s="60">
        <v>1200000</v>
      </c>
      <c r="C84" s="68">
        <f t="shared" si="0"/>
        <v>2400</v>
      </c>
      <c r="E84" s="86"/>
      <c r="F84" s="85" t="s">
        <v>47</v>
      </c>
    </row>
    <row r="85" spans="1:7" ht="12.75">
      <c r="A85" s="20" t="s">
        <v>70</v>
      </c>
      <c r="B85" s="60">
        <v>5320927</v>
      </c>
      <c r="C85" s="68">
        <f t="shared" si="0"/>
        <v>10641.854</v>
      </c>
      <c r="E85" s="86"/>
      <c r="G85" s="124"/>
    </row>
    <row r="86" spans="1:5" ht="12.75">
      <c r="A86" s="2" t="s">
        <v>71</v>
      </c>
      <c r="B86" s="60">
        <v>1800000</v>
      </c>
      <c r="C86" s="68">
        <f t="shared" si="0"/>
        <v>3600</v>
      </c>
      <c r="D86" s="9"/>
      <c r="E86" s="86"/>
    </row>
    <row r="87" spans="1:5" ht="12.75">
      <c r="A87" s="2"/>
      <c r="B87" s="60"/>
      <c r="C87" s="68">
        <f t="shared" si="0"/>
        <v>0</v>
      </c>
      <c r="D87" s="9"/>
      <c r="E87" s="86"/>
    </row>
    <row r="88" spans="1:5" ht="12.75">
      <c r="A88" s="19" t="s">
        <v>72</v>
      </c>
      <c r="B88" s="59"/>
      <c r="C88" s="68">
        <f>SUM(B88/500)</f>
        <v>0</v>
      </c>
      <c r="D88" s="9"/>
      <c r="E88" s="86"/>
    </row>
    <row r="89" spans="1:5" ht="12.75">
      <c r="A89" s="149" t="s">
        <v>74</v>
      </c>
      <c r="B89" s="60">
        <v>6602275</v>
      </c>
      <c r="C89" s="68">
        <f t="shared" si="0"/>
        <v>13204.55</v>
      </c>
      <c r="D89" s="9"/>
      <c r="E89" s="86"/>
    </row>
    <row r="90" spans="1:5" ht="12.75">
      <c r="A90" s="149" t="s">
        <v>76</v>
      </c>
      <c r="B90" s="60">
        <v>2211104</v>
      </c>
      <c r="C90" s="68">
        <f t="shared" si="0"/>
        <v>4422.208</v>
      </c>
      <c r="D90" s="9"/>
      <c r="E90" s="124"/>
    </row>
    <row r="91" spans="1:7" ht="12.75">
      <c r="A91" s="149" t="s">
        <v>75</v>
      </c>
      <c r="B91" s="60">
        <v>1099750</v>
      </c>
      <c r="C91" s="68">
        <f t="shared" si="0"/>
        <v>2199.5</v>
      </c>
      <c r="D91" s="9"/>
      <c r="G91" s="124"/>
    </row>
    <row r="92" spans="1:4" ht="12.75">
      <c r="A92" s="150" t="s">
        <v>179</v>
      </c>
      <c r="B92" s="60">
        <v>1334407</v>
      </c>
      <c r="C92" s="68">
        <f t="shared" si="0"/>
        <v>2668.814</v>
      </c>
      <c r="D92" s="9"/>
    </row>
    <row r="93" spans="1:4" ht="12.75">
      <c r="A93" s="147" t="s">
        <v>180</v>
      </c>
      <c r="B93" s="62">
        <v>1410500</v>
      </c>
      <c r="C93" s="68">
        <f t="shared" si="0"/>
        <v>2821</v>
      </c>
      <c r="D93" s="9"/>
    </row>
    <row r="94" spans="1:4" ht="12.75">
      <c r="A94" s="150" t="s">
        <v>78</v>
      </c>
      <c r="B94" s="62">
        <v>1649580</v>
      </c>
      <c r="C94" s="68">
        <f t="shared" si="0"/>
        <v>3299.16</v>
      </c>
      <c r="D94" s="9"/>
    </row>
    <row r="95" spans="1:8" ht="12.75">
      <c r="A95" s="150" t="s">
        <v>79</v>
      </c>
      <c r="B95" s="60"/>
      <c r="C95" s="68">
        <f t="shared" si="0"/>
        <v>0</v>
      </c>
      <c r="D95" s="9"/>
      <c r="E95" s="93"/>
      <c r="F95" s="93"/>
      <c r="G95" s="93"/>
      <c r="H95" s="46"/>
    </row>
    <row r="96" spans="1:4" ht="12.75">
      <c r="A96" s="47"/>
      <c r="B96" s="60"/>
      <c r="C96" s="68">
        <f t="shared" si="0"/>
        <v>0</v>
      </c>
      <c r="D96" s="9"/>
    </row>
    <row r="97" spans="1:7" ht="25.5">
      <c r="A97" s="28" t="s">
        <v>80</v>
      </c>
      <c r="B97" s="59">
        <f>SUM(B98:B106)</f>
        <v>22680000</v>
      </c>
      <c r="C97" s="68">
        <f t="shared" si="0"/>
        <v>45360</v>
      </c>
      <c r="E97" s="124"/>
      <c r="F97" s="124"/>
      <c r="G97" s="124"/>
    </row>
    <row r="98" spans="1:6" ht="12.75">
      <c r="A98" s="152" t="s">
        <v>82</v>
      </c>
      <c r="B98" s="60">
        <v>5353600</v>
      </c>
      <c r="C98" s="68">
        <f t="shared" si="0"/>
        <v>10707.2</v>
      </c>
      <c r="D98" s="9"/>
      <c r="E98" s="86"/>
      <c r="F98" s="127"/>
    </row>
    <row r="99" spans="1:6" ht="12.75">
      <c r="A99" s="13" t="s">
        <v>81</v>
      </c>
      <c r="B99" s="60">
        <v>6550000</v>
      </c>
      <c r="C99" s="68">
        <f t="shared" si="0"/>
        <v>13100</v>
      </c>
      <c r="E99" s="86"/>
      <c r="F99" s="127"/>
    </row>
    <row r="100" spans="1:6" ht="12.75">
      <c r="A100" s="150" t="s">
        <v>83</v>
      </c>
      <c r="B100" s="60">
        <v>3005000</v>
      </c>
      <c r="C100" s="68">
        <f t="shared" si="0"/>
        <v>6010</v>
      </c>
      <c r="E100" s="86"/>
      <c r="F100" s="127"/>
    </row>
    <row r="101" spans="1:6" ht="12.75">
      <c r="A101" s="150" t="s">
        <v>170</v>
      </c>
      <c r="B101" s="60">
        <v>4991400</v>
      </c>
      <c r="C101" s="68">
        <f t="shared" si="0"/>
        <v>9982.8</v>
      </c>
      <c r="E101" s="86"/>
      <c r="F101" s="127"/>
    </row>
    <row r="102" spans="1:6" ht="12.75">
      <c r="A102" s="150" t="s">
        <v>84</v>
      </c>
      <c r="B102" s="60">
        <v>420000</v>
      </c>
      <c r="C102" s="68">
        <f t="shared" si="0"/>
        <v>840</v>
      </c>
      <c r="E102" s="86"/>
      <c r="F102" s="127"/>
    </row>
    <row r="103" spans="1:5" ht="12.75">
      <c r="A103" s="150" t="s">
        <v>85</v>
      </c>
      <c r="B103" s="60">
        <v>1800000</v>
      </c>
      <c r="C103" s="68">
        <f t="shared" si="0"/>
        <v>3600</v>
      </c>
      <c r="E103" s="86"/>
    </row>
    <row r="104" spans="1:5" ht="12.75">
      <c r="A104" s="150" t="s">
        <v>75</v>
      </c>
      <c r="B104" s="60">
        <v>350000</v>
      </c>
      <c r="C104" s="68">
        <f t="shared" si="0"/>
        <v>700</v>
      </c>
      <c r="D104" s="9"/>
      <c r="E104" s="86"/>
    </row>
    <row r="105" spans="1:5" ht="12.75">
      <c r="A105" s="150" t="s">
        <v>74</v>
      </c>
      <c r="B105" s="60">
        <v>210000</v>
      </c>
      <c r="C105" s="68">
        <f t="shared" si="0"/>
        <v>420</v>
      </c>
      <c r="E105" s="86"/>
    </row>
    <row r="106" spans="1:5" ht="12.75">
      <c r="A106" s="23"/>
      <c r="B106" s="60"/>
      <c r="C106" s="68">
        <f t="shared" si="0"/>
        <v>0</v>
      </c>
      <c r="E106" s="124"/>
    </row>
    <row r="107" spans="1:7" ht="12.75">
      <c r="A107" s="153" t="s">
        <v>86</v>
      </c>
      <c r="B107" s="59">
        <f>SUM(B108:B133)</f>
        <v>52960648</v>
      </c>
      <c r="C107" s="68">
        <f>SUM(B107/500)</f>
        <v>105921.296</v>
      </c>
      <c r="E107" s="124"/>
      <c r="F107" s="124"/>
      <c r="G107" s="124"/>
    </row>
    <row r="108" spans="1:3" ht="12.75">
      <c r="A108" s="154" t="s">
        <v>28</v>
      </c>
      <c r="B108" s="60">
        <v>1000000</v>
      </c>
      <c r="C108" s="68">
        <f t="shared" si="0"/>
        <v>2000</v>
      </c>
    </row>
    <row r="109" spans="1:5" ht="15.75" customHeight="1">
      <c r="A109" s="155" t="s">
        <v>87</v>
      </c>
      <c r="B109" s="60">
        <v>6691000</v>
      </c>
      <c r="C109" s="68">
        <f t="shared" si="0"/>
        <v>13382</v>
      </c>
      <c r="E109" s="124"/>
    </row>
    <row r="110" spans="1:5" ht="12.75">
      <c r="A110" s="156" t="s">
        <v>89</v>
      </c>
      <c r="B110" s="60">
        <v>1240000</v>
      </c>
      <c r="C110" s="68">
        <f t="shared" si="0"/>
        <v>2480</v>
      </c>
      <c r="E110" s="124"/>
    </row>
    <row r="111" spans="1:3" ht="12.75">
      <c r="A111" s="155" t="s">
        <v>88</v>
      </c>
      <c r="B111" s="60">
        <v>355900</v>
      </c>
      <c r="C111" s="68">
        <f t="shared" si="0"/>
        <v>711.8</v>
      </c>
    </row>
    <row r="112" spans="1:3" ht="12.75">
      <c r="A112" s="155" t="s">
        <v>90</v>
      </c>
      <c r="B112" s="60">
        <v>850340</v>
      </c>
      <c r="C112" s="68">
        <f t="shared" si="0"/>
        <v>1700.68</v>
      </c>
    </row>
    <row r="113" spans="1:3" ht="12.75">
      <c r="A113" s="155" t="s">
        <v>91</v>
      </c>
      <c r="B113" s="60">
        <v>294700</v>
      </c>
      <c r="C113" s="68">
        <f t="shared" si="0"/>
        <v>589.4</v>
      </c>
    </row>
    <row r="114" spans="1:5" ht="12.75">
      <c r="A114" s="155" t="s">
        <v>92</v>
      </c>
      <c r="B114" s="60">
        <v>331777</v>
      </c>
      <c r="C114" s="68">
        <f t="shared" si="0"/>
        <v>663.554</v>
      </c>
      <c r="E114" s="124"/>
    </row>
    <row r="115" spans="1:3" ht="12.75">
      <c r="A115" s="156" t="s">
        <v>93</v>
      </c>
      <c r="B115" s="60">
        <v>1564000</v>
      </c>
      <c r="C115" s="68">
        <f t="shared" si="0"/>
        <v>3128</v>
      </c>
    </row>
    <row r="116" spans="1:4" ht="12.75">
      <c r="A116" s="155" t="s">
        <v>94</v>
      </c>
      <c r="B116" s="60">
        <v>1055000</v>
      </c>
      <c r="C116" s="68">
        <f t="shared" si="0"/>
        <v>2110</v>
      </c>
      <c r="D116" s="9"/>
    </row>
    <row r="117" spans="1:3" ht="12.75">
      <c r="A117" s="150" t="s">
        <v>95</v>
      </c>
      <c r="B117" s="60">
        <v>940500</v>
      </c>
      <c r="C117" s="68">
        <f t="shared" si="0"/>
        <v>1881</v>
      </c>
    </row>
    <row r="118" spans="1:3" ht="12.75">
      <c r="A118" s="150" t="s">
        <v>68</v>
      </c>
      <c r="B118" s="60">
        <v>1065000</v>
      </c>
      <c r="C118" s="68">
        <f t="shared" si="0"/>
        <v>2130</v>
      </c>
    </row>
    <row r="119" spans="1:3" ht="12.75">
      <c r="A119" s="150" t="s">
        <v>67</v>
      </c>
      <c r="B119" s="60">
        <v>750000</v>
      </c>
      <c r="C119" s="68">
        <f t="shared" si="0"/>
        <v>1500</v>
      </c>
    </row>
    <row r="120" spans="1:5" ht="12.75">
      <c r="A120" s="150" t="s">
        <v>96</v>
      </c>
      <c r="B120" s="60">
        <v>16623880</v>
      </c>
      <c r="C120" s="68">
        <f t="shared" si="0"/>
        <v>33247.76</v>
      </c>
      <c r="E120" s="124"/>
    </row>
    <row r="121" spans="1:3" ht="12.75">
      <c r="A121" s="2"/>
      <c r="B121" s="60"/>
      <c r="C121" s="68">
        <f t="shared" si="0"/>
        <v>0</v>
      </c>
    </row>
    <row r="122" spans="1:3" ht="12.75">
      <c r="A122" s="19" t="s">
        <v>97</v>
      </c>
      <c r="B122" s="60">
        <v>10010615</v>
      </c>
      <c r="C122" s="68">
        <f t="shared" si="0"/>
        <v>20021.23</v>
      </c>
    </row>
    <row r="123" spans="1:3" ht="12.75">
      <c r="A123" s="2"/>
      <c r="B123" s="60"/>
      <c r="C123" s="68">
        <f t="shared" si="0"/>
        <v>0</v>
      </c>
    </row>
    <row r="124" spans="1:3" ht="15">
      <c r="A124" s="15" t="s">
        <v>98</v>
      </c>
      <c r="B124" s="59"/>
      <c r="C124" s="68">
        <f t="shared" si="0"/>
        <v>0</v>
      </c>
    </row>
    <row r="125" spans="1:3" ht="51">
      <c r="A125" s="24" t="s">
        <v>99</v>
      </c>
      <c r="B125" s="60">
        <v>3002740</v>
      </c>
      <c r="C125" s="68">
        <f t="shared" si="0"/>
        <v>6005.48</v>
      </c>
    </row>
    <row r="126" spans="1:3" ht="12.75">
      <c r="A126" s="24" t="s">
        <v>10</v>
      </c>
      <c r="B126" s="60">
        <v>662800</v>
      </c>
      <c r="C126" s="68">
        <f t="shared" si="0"/>
        <v>1325.6</v>
      </c>
    </row>
    <row r="127" spans="1:3" ht="12.75">
      <c r="A127" s="24" t="s">
        <v>100</v>
      </c>
      <c r="B127" s="60">
        <v>1347996</v>
      </c>
      <c r="C127" s="68">
        <f>SUM(B127/500)</f>
        <v>2695.992</v>
      </c>
    </row>
    <row r="128" spans="1:3" ht="12.75">
      <c r="A128" s="147" t="s">
        <v>101</v>
      </c>
      <c r="B128" s="60">
        <v>216000</v>
      </c>
      <c r="C128" s="68">
        <f t="shared" si="0"/>
        <v>432</v>
      </c>
    </row>
    <row r="129" spans="1:3" ht="25.5">
      <c r="A129" s="49" t="s">
        <v>102</v>
      </c>
      <c r="B129" s="60">
        <v>220600</v>
      </c>
      <c r="C129" s="68">
        <f aca="true" t="shared" si="1" ref="C129:C147">SUM(B129/500)</f>
        <v>441.2</v>
      </c>
    </row>
    <row r="130" spans="1:3" ht="25.5">
      <c r="A130" s="147" t="s">
        <v>103</v>
      </c>
      <c r="B130" s="60">
        <v>1800000</v>
      </c>
      <c r="C130" s="68">
        <f t="shared" si="1"/>
        <v>3600</v>
      </c>
    </row>
    <row r="131" spans="1:3" ht="12.75">
      <c r="A131" s="2" t="s">
        <v>104</v>
      </c>
      <c r="B131" s="60">
        <v>1700000</v>
      </c>
      <c r="C131" s="68">
        <f t="shared" si="1"/>
        <v>3400</v>
      </c>
    </row>
    <row r="132" spans="1:5" ht="12.75">
      <c r="A132" s="2" t="s">
        <v>105</v>
      </c>
      <c r="B132" s="60">
        <v>110000</v>
      </c>
      <c r="C132" s="68">
        <f t="shared" si="1"/>
        <v>220</v>
      </c>
      <c r="E132" s="124"/>
    </row>
    <row r="133" spans="1:3" ht="25.5">
      <c r="A133" s="157" t="s">
        <v>77</v>
      </c>
      <c r="B133" s="60">
        <v>1127800</v>
      </c>
      <c r="C133" s="68">
        <f t="shared" si="1"/>
        <v>2255.6</v>
      </c>
    </row>
    <row r="134" spans="1:3" ht="12.75">
      <c r="A134" s="52"/>
      <c r="B134" s="60"/>
      <c r="C134" s="68">
        <f t="shared" si="1"/>
        <v>0</v>
      </c>
    </row>
    <row r="135" spans="1:3" ht="12.75">
      <c r="A135" s="17" t="s">
        <v>171</v>
      </c>
      <c r="B135" s="59">
        <f>SUM(B136:B137)</f>
        <v>11228400</v>
      </c>
      <c r="C135" s="68">
        <f t="shared" si="1"/>
        <v>22456.8</v>
      </c>
    </row>
    <row r="136" spans="1:4" ht="12.75">
      <c r="A136" s="158" t="s">
        <v>106</v>
      </c>
      <c r="B136" s="60">
        <v>700000</v>
      </c>
      <c r="C136" s="68">
        <f t="shared" si="1"/>
        <v>1400</v>
      </c>
      <c r="D136" s="46"/>
    </row>
    <row r="137" spans="1:3" ht="12.75">
      <c r="A137" s="106" t="s">
        <v>107</v>
      </c>
      <c r="B137" s="60">
        <v>10528400</v>
      </c>
      <c r="C137" s="68">
        <f t="shared" si="1"/>
        <v>21056.8</v>
      </c>
    </row>
    <row r="138" spans="1:5" ht="12.75">
      <c r="A138" s="19"/>
      <c r="B138" s="59"/>
      <c r="C138" s="68">
        <f t="shared" si="1"/>
        <v>0</v>
      </c>
      <c r="E138" s="124"/>
    </row>
    <row r="139" spans="1:7" ht="12.75">
      <c r="A139" s="17" t="s">
        <v>172</v>
      </c>
      <c r="B139" s="59">
        <f>SUM(B140:B141)</f>
        <v>51636292</v>
      </c>
      <c r="C139" s="68">
        <f t="shared" si="1"/>
        <v>103272.584</v>
      </c>
      <c r="E139" s="124"/>
      <c r="F139" s="124"/>
      <c r="G139" s="124"/>
    </row>
    <row r="140" spans="1:6" ht="12.75">
      <c r="A140" s="20" t="s">
        <v>108</v>
      </c>
      <c r="B140" s="60">
        <v>31135135</v>
      </c>
      <c r="C140" s="68">
        <f t="shared" si="1"/>
        <v>62270.27</v>
      </c>
      <c r="D140" s="46"/>
      <c r="E140" s="124"/>
      <c r="F140" s="124"/>
    </row>
    <row r="141" spans="1:5" ht="15">
      <c r="A141" s="2" t="s">
        <v>109</v>
      </c>
      <c r="B141" s="60">
        <v>20501157</v>
      </c>
      <c r="C141" s="68">
        <f t="shared" si="1"/>
        <v>41002.314</v>
      </c>
      <c r="D141" s="9"/>
      <c r="E141" s="128"/>
    </row>
    <row r="142" spans="1:3" ht="12.75">
      <c r="A142" s="16"/>
      <c r="B142" s="59"/>
      <c r="C142" s="68">
        <f t="shared" si="1"/>
        <v>0</v>
      </c>
    </row>
    <row r="143" spans="1:7" ht="12.75">
      <c r="A143" s="17" t="s">
        <v>173</v>
      </c>
      <c r="B143" s="59">
        <f>SUM(B144:B145)</f>
        <v>15526502</v>
      </c>
      <c r="C143" s="68">
        <f t="shared" si="1"/>
        <v>31053.004</v>
      </c>
      <c r="E143" s="124"/>
      <c r="F143" s="124"/>
      <c r="G143" s="124"/>
    </row>
    <row r="144" spans="1:6" ht="12.75">
      <c r="A144" s="2" t="s">
        <v>110</v>
      </c>
      <c r="B144" s="60">
        <v>15526502</v>
      </c>
      <c r="C144" s="68">
        <f t="shared" si="1"/>
        <v>31053.004</v>
      </c>
      <c r="E144" s="125"/>
      <c r="F144" s="124"/>
    </row>
    <row r="145" spans="1:5" ht="12.75">
      <c r="A145" s="2"/>
      <c r="B145" s="60"/>
      <c r="C145" s="68">
        <f t="shared" si="1"/>
        <v>0</v>
      </c>
      <c r="E145" s="125"/>
    </row>
    <row r="146" spans="1:3" ht="12.75">
      <c r="A146" s="17" t="s">
        <v>174</v>
      </c>
      <c r="B146" s="59">
        <v>16083131</v>
      </c>
      <c r="C146" s="68">
        <f t="shared" si="1"/>
        <v>32166.262</v>
      </c>
    </row>
    <row r="147" spans="1:5" ht="12.75">
      <c r="A147" s="2" t="s">
        <v>30</v>
      </c>
      <c r="B147" s="60"/>
      <c r="C147" s="68">
        <f t="shared" si="1"/>
        <v>0</v>
      </c>
      <c r="E147" s="124"/>
    </row>
    <row r="148" spans="1:5" ht="12.75">
      <c r="A148" s="2"/>
      <c r="B148" s="60"/>
      <c r="C148" s="68">
        <f>SUM(B148/500)</f>
        <v>0</v>
      </c>
      <c r="E148" s="125"/>
    </row>
    <row r="149" spans="1:5" ht="12.75">
      <c r="A149" s="19" t="s">
        <v>111</v>
      </c>
      <c r="B149" s="59"/>
      <c r="C149" s="68">
        <f aca="true" t="shared" si="2" ref="C149:C167">SUM(B149/500)</f>
        <v>0</v>
      </c>
      <c r="E149" s="124"/>
    </row>
    <row r="150" spans="1:5" ht="12.75">
      <c r="A150" s="19"/>
      <c r="B150" s="59"/>
      <c r="C150" s="68">
        <f t="shared" si="2"/>
        <v>0</v>
      </c>
      <c r="E150" s="124"/>
    </row>
    <row r="151" spans="1:7" ht="12.75">
      <c r="A151" s="28" t="s">
        <v>204</v>
      </c>
      <c r="B151" s="59">
        <f>SUM(B152:B158)</f>
        <v>8895000</v>
      </c>
      <c r="C151" s="68">
        <f t="shared" si="2"/>
        <v>17790</v>
      </c>
      <c r="E151" s="124"/>
      <c r="F151" s="124"/>
      <c r="G151" s="124"/>
    </row>
    <row r="152" spans="1:4" ht="12.75">
      <c r="A152" s="56" t="s">
        <v>112</v>
      </c>
      <c r="B152" s="60">
        <v>1200000</v>
      </c>
      <c r="C152" s="68">
        <f t="shared" si="2"/>
        <v>2400</v>
      </c>
      <c r="D152" s="46"/>
    </row>
    <row r="153" spans="1:4" ht="12.75">
      <c r="A153" s="56" t="s">
        <v>113</v>
      </c>
      <c r="B153" s="60">
        <v>375000</v>
      </c>
      <c r="C153" s="68">
        <f t="shared" si="2"/>
        <v>750</v>
      </c>
      <c r="D153" s="46"/>
    </row>
    <row r="154" spans="1:4" ht="12.75">
      <c r="A154" s="56" t="s">
        <v>114</v>
      </c>
      <c r="B154" s="60">
        <v>1545000</v>
      </c>
      <c r="C154" s="68">
        <f t="shared" si="2"/>
        <v>3090</v>
      </c>
      <c r="D154" s="46"/>
    </row>
    <row r="155" spans="1:4" ht="12.75">
      <c r="A155" s="56" t="s">
        <v>68</v>
      </c>
      <c r="B155" s="60">
        <v>75000</v>
      </c>
      <c r="C155" s="68">
        <f t="shared" si="2"/>
        <v>150</v>
      </c>
      <c r="D155" s="46"/>
    </row>
    <row r="156" spans="1:4" ht="12.75">
      <c r="A156" s="56" t="s">
        <v>115</v>
      </c>
      <c r="B156" s="60">
        <v>300000</v>
      </c>
      <c r="C156" s="68">
        <f t="shared" si="2"/>
        <v>600</v>
      </c>
      <c r="D156" s="46"/>
    </row>
    <row r="157" spans="1:6" ht="12.75">
      <c r="A157" s="56" t="s">
        <v>116</v>
      </c>
      <c r="B157" s="60">
        <v>4900000</v>
      </c>
      <c r="C157" s="68">
        <f t="shared" si="2"/>
        <v>9800</v>
      </c>
      <c r="D157" s="46"/>
      <c r="E157" s="93"/>
      <c r="F157" s="93"/>
    </row>
    <row r="158" spans="1:4" ht="12.75">
      <c r="A158" s="2" t="s">
        <v>120</v>
      </c>
      <c r="B158" s="60">
        <v>500000</v>
      </c>
      <c r="C158" s="68">
        <f t="shared" si="2"/>
        <v>1000</v>
      </c>
      <c r="D158" s="46"/>
    </row>
    <row r="159" spans="1:4" ht="12.75">
      <c r="A159" s="19"/>
      <c r="B159" s="59"/>
      <c r="C159" s="68">
        <f t="shared" si="2"/>
        <v>0</v>
      </c>
      <c r="D159" s="46"/>
    </row>
    <row r="160" spans="1:3" ht="12.75">
      <c r="A160" s="28" t="s">
        <v>205</v>
      </c>
      <c r="B160" s="59">
        <f>SUM(B161:B165)</f>
        <v>1488245</v>
      </c>
      <c r="C160" s="68">
        <f t="shared" si="2"/>
        <v>2976.49</v>
      </c>
    </row>
    <row r="161" spans="1:4" ht="12.75">
      <c r="A161" s="54" t="s">
        <v>117</v>
      </c>
      <c r="B161" s="60">
        <v>100000</v>
      </c>
      <c r="C161" s="68">
        <f t="shared" si="2"/>
        <v>200</v>
      </c>
      <c r="D161" s="46"/>
    </row>
    <row r="162" spans="1:4" ht="12.75">
      <c r="A162" s="56" t="s">
        <v>118</v>
      </c>
      <c r="B162" s="60">
        <v>875745</v>
      </c>
      <c r="C162" s="68">
        <f t="shared" si="2"/>
        <v>1751.49</v>
      </c>
      <c r="D162" s="46"/>
    </row>
    <row r="163" spans="1:4" ht="12.75">
      <c r="A163" s="54" t="s">
        <v>119</v>
      </c>
      <c r="B163" s="60">
        <v>392500</v>
      </c>
      <c r="C163" s="68">
        <f t="shared" si="2"/>
        <v>785</v>
      </c>
      <c r="D163" s="46"/>
    </row>
    <row r="164" spans="1:4" ht="12.75">
      <c r="A164" s="54" t="s">
        <v>121</v>
      </c>
      <c r="B164" s="60">
        <v>120000</v>
      </c>
      <c r="C164" s="68">
        <f t="shared" si="2"/>
        <v>240</v>
      </c>
      <c r="D164" s="46"/>
    </row>
    <row r="165" spans="1:4" ht="12.75">
      <c r="A165" s="53"/>
      <c r="B165" s="60"/>
      <c r="C165" s="68">
        <f t="shared" si="2"/>
        <v>0</v>
      </c>
      <c r="D165" s="9"/>
    </row>
    <row r="166" spans="1:3" ht="12.75">
      <c r="A166" s="17" t="s">
        <v>175</v>
      </c>
      <c r="B166" s="59">
        <f>SUM(B167:B174)</f>
        <v>16208224</v>
      </c>
      <c r="C166" s="68">
        <f t="shared" si="2"/>
        <v>32416.448</v>
      </c>
    </row>
    <row r="167" spans="1:3" ht="12.75">
      <c r="A167" s="54" t="s">
        <v>122</v>
      </c>
      <c r="B167" s="60">
        <v>90000</v>
      </c>
      <c r="C167" s="68">
        <f t="shared" si="2"/>
        <v>180</v>
      </c>
    </row>
    <row r="168" spans="1:3" ht="12.75">
      <c r="A168" s="54" t="s">
        <v>123</v>
      </c>
      <c r="B168" s="60">
        <v>1589300</v>
      </c>
      <c r="C168" s="68">
        <f>SUM(B168/500)</f>
        <v>3178.6</v>
      </c>
    </row>
    <row r="169" spans="1:3" ht="12.75">
      <c r="A169" s="54" t="s">
        <v>124</v>
      </c>
      <c r="B169" s="60">
        <v>1015000</v>
      </c>
      <c r="C169" s="68">
        <f aca="true" t="shared" si="3" ref="C169:C188">SUM(B169/500)</f>
        <v>2030</v>
      </c>
    </row>
    <row r="170" spans="1:3" ht="12.75">
      <c r="A170" s="54" t="s">
        <v>125</v>
      </c>
      <c r="B170" s="60">
        <v>6675000</v>
      </c>
      <c r="C170" s="68">
        <f t="shared" si="3"/>
        <v>13350</v>
      </c>
    </row>
    <row r="171" spans="1:3" ht="12.75">
      <c r="A171" s="54" t="s">
        <v>126</v>
      </c>
      <c r="B171" s="60">
        <v>327270</v>
      </c>
      <c r="C171" s="68">
        <f t="shared" si="3"/>
        <v>654.54</v>
      </c>
    </row>
    <row r="172" spans="1:3" ht="12.75">
      <c r="A172" s="54" t="s">
        <v>127</v>
      </c>
      <c r="B172" s="60">
        <v>1283500</v>
      </c>
      <c r="C172" s="68">
        <f t="shared" si="3"/>
        <v>2567</v>
      </c>
    </row>
    <row r="173" spans="1:4" ht="12.75">
      <c r="A173" s="54" t="s">
        <v>128</v>
      </c>
      <c r="B173" s="60">
        <v>5228154</v>
      </c>
      <c r="C173" s="68">
        <f t="shared" si="3"/>
        <v>10456.308</v>
      </c>
      <c r="D173" s="46"/>
    </row>
    <row r="174" spans="1:4" ht="12.75">
      <c r="A174" s="54"/>
      <c r="B174" s="60"/>
      <c r="C174" s="68">
        <f t="shared" si="3"/>
        <v>0</v>
      </c>
      <c r="D174" s="46"/>
    </row>
    <row r="175" spans="1:4" ht="12.75">
      <c r="A175" s="55" t="s">
        <v>110</v>
      </c>
      <c r="B175" s="59">
        <f>SUM(B176:B183)</f>
        <v>1048416</v>
      </c>
      <c r="C175" s="68">
        <f t="shared" si="3"/>
        <v>2096.832</v>
      </c>
      <c r="D175" s="46"/>
    </row>
    <row r="176" spans="1:4" ht="12.75">
      <c r="A176" s="54" t="s">
        <v>129</v>
      </c>
      <c r="B176" s="60">
        <v>200000</v>
      </c>
      <c r="C176" s="68">
        <f t="shared" si="3"/>
        <v>400</v>
      </c>
      <c r="D176" s="46"/>
    </row>
    <row r="177" spans="1:4" ht="12.75">
      <c r="A177" s="54" t="s">
        <v>105</v>
      </c>
      <c r="B177" s="60">
        <v>1440</v>
      </c>
      <c r="C177" s="68">
        <f t="shared" si="3"/>
        <v>2.88</v>
      </c>
      <c r="D177" s="46"/>
    </row>
    <row r="178" spans="1:4" ht="12.75">
      <c r="A178" s="54" t="s">
        <v>130</v>
      </c>
      <c r="B178" s="60">
        <v>70000</v>
      </c>
      <c r="C178" s="68">
        <f t="shared" si="3"/>
        <v>140</v>
      </c>
      <c r="D178" s="46"/>
    </row>
    <row r="179" spans="1:4" ht="12.75">
      <c r="A179" s="54" t="s">
        <v>131</v>
      </c>
      <c r="B179" s="60">
        <v>75000</v>
      </c>
      <c r="C179" s="68">
        <f t="shared" si="3"/>
        <v>150</v>
      </c>
      <c r="D179" s="46"/>
    </row>
    <row r="180" spans="1:4" ht="12.75">
      <c r="A180" s="54" t="s">
        <v>132</v>
      </c>
      <c r="B180" s="60">
        <v>172420</v>
      </c>
      <c r="C180" s="68">
        <f t="shared" si="3"/>
        <v>344.84</v>
      </c>
      <c r="D180" s="46"/>
    </row>
    <row r="181" spans="1:5" ht="12.75">
      <c r="A181" s="54" t="s">
        <v>133</v>
      </c>
      <c r="B181" s="60">
        <v>109556</v>
      </c>
      <c r="C181" s="68">
        <f t="shared" si="3"/>
        <v>219.112</v>
      </c>
      <c r="D181" s="46"/>
      <c r="E181" s="125"/>
    </row>
    <row r="182" spans="1:5" ht="12.75">
      <c r="A182" s="54" t="s">
        <v>134</v>
      </c>
      <c r="B182" s="60">
        <v>420000</v>
      </c>
      <c r="C182" s="68">
        <f t="shared" si="3"/>
        <v>840</v>
      </c>
      <c r="D182" s="46"/>
      <c r="E182" s="125"/>
    </row>
    <row r="183" spans="1:5" ht="12.75">
      <c r="A183" s="54"/>
      <c r="B183" s="60"/>
      <c r="C183" s="68">
        <f t="shared" si="3"/>
        <v>0</v>
      </c>
      <c r="D183" s="46"/>
      <c r="E183" s="125"/>
    </row>
    <row r="184" spans="1:6" ht="12.75">
      <c r="A184" s="17" t="s">
        <v>176</v>
      </c>
      <c r="B184" s="59">
        <f>SUM(B185)</f>
        <v>6470000</v>
      </c>
      <c r="C184" s="68">
        <f t="shared" si="3"/>
        <v>12940</v>
      </c>
      <c r="D184" s="46"/>
      <c r="E184" s="125"/>
      <c r="F184" s="124"/>
    </row>
    <row r="185" spans="1:6" ht="28.5">
      <c r="A185" s="89" t="s">
        <v>135</v>
      </c>
      <c r="B185" s="60">
        <v>6470000</v>
      </c>
      <c r="C185" s="68">
        <f t="shared" si="3"/>
        <v>12940</v>
      </c>
      <c r="D185" s="46"/>
      <c r="E185" s="125"/>
      <c r="F185" s="124"/>
    </row>
    <row r="186" spans="1:5" ht="12.75">
      <c r="A186" s="54"/>
      <c r="B186" s="60"/>
      <c r="C186" s="68">
        <f t="shared" si="3"/>
        <v>0</v>
      </c>
      <c r="D186" s="46"/>
      <c r="E186" s="125"/>
    </row>
    <row r="187" spans="1:5" ht="12.75">
      <c r="A187" s="17" t="s">
        <v>177</v>
      </c>
      <c r="B187" s="59">
        <f>SUM(B188:B192)</f>
        <v>1580890</v>
      </c>
      <c r="C187" s="68">
        <f t="shared" si="3"/>
        <v>3161.78</v>
      </c>
      <c r="D187" s="46"/>
      <c r="E187" s="125"/>
    </row>
    <row r="188" spans="1:5" ht="14.25">
      <c r="A188" s="90" t="s">
        <v>136</v>
      </c>
      <c r="B188" s="102">
        <v>342000</v>
      </c>
      <c r="C188" s="68">
        <f t="shared" si="3"/>
        <v>684</v>
      </c>
      <c r="D188" s="46"/>
      <c r="E188" s="108"/>
    </row>
    <row r="189" spans="1:5" ht="14.25">
      <c r="A189" s="90" t="s">
        <v>113</v>
      </c>
      <c r="B189" s="102">
        <v>174000</v>
      </c>
      <c r="C189" s="68">
        <f>SUM(B189/500)</f>
        <v>348</v>
      </c>
      <c r="D189" s="46"/>
      <c r="E189" s="108"/>
    </row>
    <row r="190" spans="1:5" ht="14.25">
      <c r="A190" s="90" t="s">
        <v>124</v>
      </c>
      <c r="B190" s="102">
        <v>880800</v>
      </c>
      <c r="C190" s="68">
        <f aca="true" t="shared" si="4" ref="C190:C213">SUM(B190/500)</f>
        <v>1761.6</v>
      </c>
      <c r="D190" s="46"/>
      <c r="E190" s="125"/>
    </row>
    <row r="191" spans="1:5" ht="14.25">
      <c r="A191" s="90" t="s">
        <v>137</v>
      </c>
      <c r="B191" s="102">
        <v>109090</v>
      </c>
      <c r="C191" s="68">
        <f t="shared" si="4"/>
        <v>218.18</v>
      </c>
      <c r="D191" s="46"/>
      <c r="E191" s="125"/>
    </row>
    <row r="192" spans="1:5" ht="14.25">
      <c r="A192" s="90" t="s">
        <v>138</v>
      </c>
      <c r="B192" s="102">
        <v>75000</v>
      </c>
      <c r="C192" s="68">
        <f t="shared" si="4"/>
        <v>150</v>
      </c>
      <c r="D192" s="46"/>
      <c r="E192" s="125"/>
    </row>
    <row r="193" spans="1:5" ht="14.25">
      <c r="A193" s="91"/>
      <c r="B193" s="103"/>
      <c r="C193" s="68">
        <f t="shared" si="4"/>
        <v>0</v>
      </c>
      <c r="D193" s="46"/>
      <c r="E193" s="125"/>
    </row>
    <row r="194" spans="1:5" ht="15">
      <c r="A194" s="92" t="s">
        <v>139</v>
      </c>
      <c r="B194" s="104">
        <f>SUM(B195:B202)</f>
        <v>9431212</v>
      </c>
      <c r="C194" s="68">
        <f t="shared" si="4"/>
        <v>18862.424</v>
      </c>
      <c r="D194" s="46"/>
      <c r="E194" s="125"/>
    </row>
    <row r="195" spans="1:5" ht="14.25">
      <c r="A195" s="90" t="s">
        <v>140</v>
      </c>
      <c r="B195" s="102">
        <v>7590000</v>
      </c>
      <c r="C195" s="68">
        <f t="shared" si="4"/>
        <v>15180</v>
      </c>
      <c r="D195" s="46"/>
      <c r="E195" s="125"/>
    </row>
    <row r="196" spans="1:5" ht="14.25">
      <c r="A196" s="90" t="s">
        <v>141</v>
      </c>
      <c r="B196" s="102">
        <f>445000+25000+25000+50000</f>
        <v>545000</v>
      </c>
      <c r="C196" s="68">
        <f t="shared" si="4"/>
        <v>1090</v>
      </c>
      <c r="D196" s="46"/>
      <c r="E196" s="125"/>
    </row>
    <row r="197" spans="1:5" ht="14.25">
      <c r="A197" s="90" t="s">
        <v>129</v>
      </c>
      <c r="B197" s="102">
        <f>18450+30000+30000</f>
        <v>78450</v>
      </c>
      <c r="C197" s="68">
        <f t="shared" si="4"/>
        <v>156.9</v>
      </c>
      <c r="D197" s="46"/>
      <c r="E197" s="125"/>
    </row>
    <row r="198" spans="1:5" ht="14.25">
      <c r="A198" s="90" t="s">
        <v>142</v>
      </c>
      <c r="B198" s="102">
        <f>124550+11685+2000+15925+26352</f>
        <v>180512</v>
      </c>
      <c r="C198" s="68">
        <f t="shared" si="4"/>
        <v>361.024</v>
      </c>
      <c r="D198" s="46"/>
      <c r="E198" s="125"/>
    </row>
    <row r="199" spans="1:5" ht="14.25">
      <c r="A199" s="90" t="s">
        <v>143</v>
      </c>
      <c r="B199" s="102">
        <f>7000+10000+10000</f>
        <v>27000</v>
      </c>
      <c r="C199" s="68">
        <f t="shared" si="4"/>
        <v>54</v>
      </c>
      <c r="D199" s="46"/>
      <c r="E199" s="125"/>
    </row>
    <row r="200" spans="1:5" ht="14.25">
      <c r="A200" s="90" t="s">
        <v>105</v>
      </c>
      <c r="B200" s="102">
        <v>1440</v>
      </c>
      <c r="C200" s="68">
        <f t="shared" si="4"/>
        <v>2.88</v>
      </c>
      <c r="D200" s="46"/>
      <c r="E200" s="125"/>
    </row>
    <row r="201" spans="1:5" ht="14.25">
      <c r="A201" s="90" t="s">
        <v>144</v>
      </c>
      <c r="B201" s="102">
        <v>900000</v>
      </c>
      <c r="C201" s="68">
        <f t="shared" si="4"/>
        <v>1800</v>
      </c>
      <c r="D201" s="46"/>
      <c r="E201" s="125"/>
    </row>
    <row r="202" spans="1:5" ht="14.25">
      <c r="A202" s="90" t="s">
        <v>145</v>
      </c>
      <c r="B202" s="102">
        <f>2000+360+2000+360+2000+360+2000+360+2000+360+2000+360+1250+2000+360+2000+360+2000+360+2000+360+2000+360+2000+360+2000+360+2000+360+2000+360+502+90+5000+900+5000+900+538+97+690+124+5000+900+5000+900+762+137+5000+900+885+159+5000+900+636+114+5000+900+1082+195+1185+213+5000+900+874+157+5000+900+2000+360+5000+900+2000+360</f>
        <v>108810</v>
      </c>
      <c r="C202" s="68">
        <f t="shared" si="4"/>
        <v>217.62</v>
      </c>
      <c r="D202" s="46"/>
      <c r="E202" s="125"/>
    </row>
    <row r="203" spans="1:5" ht="12.75">
      <c r="A203" s="54"/>
      <c r="B203" s="60"/>
      <c r="C203" s="68">
        <f t="shared" si="4"/>
        <v>0</v>
      </c>
      <c r="D203" s="46"/>
      <c r="E203" s="125"/>
    </row>
    <row r="204" spans="1:7" ht="12.75">
      <c r="A204" s="17" t="s">
        <v>178</v>
      </c>
      <c r="B204" s="59">
        <f>SUM(B205:B211)</f>
        <v>3956840</v>
      </c>
      <c r="C204" s="68">
        <f t="shared" si="4"/>
        <v>7913.68</v>
      </c>
      <c r="D204" s="101"/>
      <c r="E204" s="125"/>
      <c r="F204" s="124"/>
      <c r="G204" s="124"/>
    </row>
    <row r="205" spans="1:5" ht="12.75">
      <c r="A205" s="2" t="s">
        <v>146</v>
      </c>
      <c r="B205" s="60">
        <v>1026000</v>
      </c>
      <c r="C205" s="68">
        <f t="shared" si="4"/>
        <v>2052</v>
      </c>
      <c r="D205" s="46"/>
      <c r="E205" s="125"/>
    </row>
    <row r="206" spans="1:5" ht="12.75">
      <c r="A206" s="2" t="s">
        <v>113</v>
      </c>
      <c r="B206" s="60">
        <f>1563600+260000</f>
        <v>1823600</v>
      </c>
      <c r="C206" s="68">
        <f t="shared" si="4"/>
        <v>3647.2</v>
      </c>
      <c r="D206" s="46"/>
      <c r="E206" s="125"/>
    </row>
    <row r="207" spans="1:5" ht="12.75">
      <c r="A207" s="2" t="s">
        <v>75</v>
      </c>
      <c r="B207" s="60">
        <v>1440</v>
      </c>
      <c r="C207" s="68">
        <f t="shared" si="4"/>
        <v>2.88</v>
      </c>
      <c r="D207" s="46"/>
      <c r="E207" s="125"/>
    </row>
    <row r="208" spans="1:5" ht="12.75">
      <c r="A208" s="2" t="s">
        <v>147</v>
      </c>
      <c r="B208" s="60">
        <v>880800</v>
      </c>
      <c r="C208" s="68">
        <f t="shared" si="4"/>
        <v>1761.6</v>
      </c>
      <c r="D208" s="46"/>
      <c r="E208" s="125"/>
    </row>
    <row r="209" spans="1:8" ht="12.75">
      <c r="A209" s="2" t="s">
        <v>148</v>
      </c>
      <c r="B209" s="63">
        <v>75000</v>
      </c>
      <c r="C209" s="68">
        <f t="shared" si="4"/>
        <v>150</v>
      </c>
      <c r="D209" s="46"/>
      <c r="E209" s="125"/>
      <c r="F209" s="124"/>
      <c r="G209" s="124"/>
      <c r="H209" s="9"/>
    </row>
    <row r="210" spans="1:5" ht="12.75">
      <c r="A210" s="2" t="s">
        <v>122</v>
      </c>
      <c r="B210" s="60">
        <v>150000</v>
      </c>
      <c r="C210" s="68">
        <f t="shared" si="4"/>
        <v>300</v>
      </c>
      <c r="E210" s="125"/>
    </row>
    <row r="211" spans="1:5" ht="12.75">
      <c r="A211" s="2"/>
      <c r="B211" s="107"/>
      <c r="C211" s="68">
        <f t="shared" si="4"/>
        <v>0</v>
      </c>
      <c r="E211" s="125"/>
    </row>
    <row r="212" spans="1:5" ht="12.75">
      <c r="A212" s="25" t="s">
        <v>149</v>
      </c>
      <c r="B212" s="59">
        <f>B62+B97+B107+B135+B139+B146+B151+B160+B166+B175+B184+B187+B194+B204+B143</f>
        <v>359991176</v>
      </c>
      <c r="C212" s="68">
        <f t="shared" si="4"/>
        <v>719982.352</v>
      </c>
      <c r="E212" s="125"/>
    </row>
    <row r="213" spans="2:5" ht="12.75">
      <c r="B213" s="62"/>
      <c r="C213" s="68">
        <f t="shared" si="4"/>
        <v>0</v>
      </c>
      <c r="E213" s="125"/>
    </row>
    <row r="214" spans="1:5" ht="13.5" thickBot="1">
      <c r="A214" s="26" t="s">
        <v>150</v>
      </c>
      <c r="B214" s="64">
        <v>13047764</v>
      </c>
      <c r="C214" s="68">
        <f>SUM(B214/500)</f>
        <v>26095.528</v>
      </c>
      <c r="D214" s="9"/>
      <c r="E214" s="125"/>
    </row>
    <row r="215" spans="1:5" ht="12.75">
      <c r="A215" s="11"/>
      <c r="B215" s="62"/>
      <c r="C215" s="68">
        <f>SUM(B215/500)</f>
        <v>0</v>
      </c>
      <c r="E215" s="125"/>
    </row>
    <row r="216" spans="1:7" ht="13.5" thickBot="1">
      <c r="A216" s="12" t="s">
        <v>151</v>
      </c>
      <c r="B216" s="65">
        <f>SUM(B212:B215)</f>
        <v>373038940</v>
      </c>
      <c r="C216" s="68">
        <f>SUM(B216/500)</f>
        <v>746077.88</v>
      </c>
      <c r="E216" s="129"/>
      <c r="G216" s="124"/>
    </row>
    <row r="217" spans="1:2" ht="12.75">
      <c r="A217" s="27"/>
      <c r="B217" s="40"/>
    </row>
    <row r="218" spans="1:2" ht="12.75">
      <c r="A218" s="27"/>
      <c r="B218" s="40"/>
    </row>
    <row r="219" spans="1:2" ht="12.75">
      <c r="A219" s="27"/>
      <c r="B219" s="40"/>
    </row>
    <row r="220" spans="1:2" ht="12.75">
      <c r="A220" s="27"/>
      <c r="B220" s="40"/>
    </row>
    <row r="221" spans="1:2" ht="12.75">
      <c r="A221" s="27"/>
      <c r="B221" s="40"/>
    </row>
    <row r="222" spans="1:2" ht="12.75">
      <c r="A222" s="27"/>
      <c r="B222" s="40"/>
    </row>
    <row r="223" spans="1:2" ht="12.75">
      <c r="A223" s="27"/>
      <c r="B223" s="40"/>
    </row>
    <row r="224" spans="1:2" ht="12.75">
      <c r="A224" s="27"/>
      <c r="B224" s="40"/>
    </row>
    <row r="225" spans="1:2" ht="12.75">
      <c r="A225" s="27"/>
      <c r="B225" s="41">
        <f>B309-B216</f>
        <v>0</v>
      </c>
    </row>
    <row r="226" spans="1:2" ht="12.75">
      <c r="A226" s="27"/>
      <c r="B226" s="40"/>
    </row>
    <row r="227" spans="1:2" ht="12.75">
      <c r="A227" s="27"/>
      <c r="B227" s="40"/>
    </row>
    <row r="228" spans="1:2" ht="15.75">
      <c r="A228" s="8" t="s">
        <v>152</v>
      </c>
      <c r="B228" s="43"/>
    </row>
    <row r="229" spans="1:2" ht="15.75">
      <c r="A229" s="8"/>
      <c r="B229" s="43"/>
    </row>
    <row r="230" ht="13.5" thickBot="1">
      <c r="B230" s="43"/>
    </row>
    <row r="231" spans="1:3" ht="33.75">
      <c r="A231" s="51" t="s">
        <v>153</v>
      </c>
      <c r="B231" s="72" t="s">
        <v>154</v>
      </c>
      <c r="C231" s="79" t="s">
        <v>155</v>
      </c>
    </row>
    <row r="232" spans="1:9" ht="12.75">
      <c r="A232" s="14" t="s">
        <v>206</v>
      </c>
      <c r="B232" s="73">
        <f>SUM(B233:B239)</f>
        <v>137548712</v>
      </c>
      <c r="C232" s="80"/>
      <c r="E232" s="136"/>
      <c r="F232" s="124"/>
      <c r="G232" s="124"/>
      <c r="I232" s="9">
        <f>H232-G232</f>
        <v>0</v>
      </c>
    </row>
    <row r="233" spans="1:7" ht="12.75">
      <c r="A233" s="70" t="s">
        <v>16</v>
      </c>
      <c r="B233" s="74">
        <v>72856229</v>
      </c>
      <c r="C233" s="81">
        <f>B233/B232</f>
        <v>0.5296758358595172</v>
      </c>
      <c r="E233" s="131"/>
      <c r="G233" s="93"/>
    </row>
    <row r="234" spans="1:6" ht="12.75">
      <c r="A234" s="70" t="s">
        <v>11</v>
      </c>
      <c r="B234" s="74">
        <v>7444000</v>
      </c>
      <c r="C234" s="81">
        <f>B234/B232</f>
        <v>0.054119009126017845</v>
      </c>
      <c r="E234" s="131"/>
      <c r="F234" s="124"/>
    </row>
    <row r="235" spans="1:5" ht="12.75">
      <c r="A235" s="70" t="s">
        <v>12</v>
      </c>
      <c r="B235" s="74">
        <v>23806580</v>
      </c>
      <c r="C235" s="81">
        <f>B235/B232</f>
        <v>0.1730774476463291</v>
      </c>
      <c r="E235" s="130"/>
    </row>
    <row r="236" spans="1:7" ht="12.75">
      <c r="A236" s="70" t="s">
        <v>13</v>
      </c>
      <c r="B236" s="74">
        <v>14360000</v>
      </c>
      <c r="C236" s="81">
        <f>B236/B232</f>
        <v>0.10439937816357016</v>
      </c>
      <c r="E236" s="131"/>
      <c r="G236" s="124"/>
    </row>
    <row r="237" spans="1:6" ht="12.75">
      <c r="A237" s="70" t="s">
        <v>14</v>
      </c>
      <c r="B237" s="74">
        <v>16262968</v>
      </c>
      <c r="C237" s="81">
        <f>B237/B232</f>
        <v>0.11823424417089416</v>
      </c>
      <c r="E237" s="131"/>
      <c r="F237" s="124"/>
    </row>
    <row r="238" spans="1:5" ht="12.75">
      <c r="A238" s="84" t="s">
        <v>29</v>
      </c>
      <c r="B238" s="74">
        <v>500000</v>
      </c>
      <c r="C238" s="81">
        <f>B238/B232</f>
        <v>0.0036350758413499357</v>
      </c>
      <c r="E238" s="132"/>
    </row>
    <row r="239" spans="1:5" ht="12.75">
      <c r="A239" s="70" t="s">
        <v>2</v>
      </c>
      <c r="B239" s="74">
        <f>'[1]BICIA-B 02'!$E$17</f>
        <v>2318935</v>
      </c>
      <c r="C239" s="81">
        <f>B239/B233</f>
        <v>0.031828918842340855</v>
      </c>
      <c r="E239" s="127"/>
    </row>
    <row r="240" spans="1:7" ht="12.75">
      <c r="A240" s="87"/>
      <c r="B240" s="75"/>
      <c r="C240" s="67"/>
      <c r="E240" s="127"/>
      <c r="G240" s="124"/>
    </row>
    <row r="241" spans="1:5" ht="15">
      <c r="A241" s="100" t="s">
        <v>190</v>
      </c>
      <c r="B241" s="75">
        <f>SUM(B242:B247)</f>
        <v>29199103</v>
      </c>
      <c r="C241" s="67"/>
      <c r="D241" s="9"/>
      <c r="E241" s="109"/>
    </row>
    <row r="242" spans="1:5" ht="12.75">
      <c r="A242" s="1" t="s">
        <v>16</v>
      </c>
      <c r="B242" s="31">
        <v>5903613</v>
      </c>
      <c r="C242" s="81">
        <f>B242/B241</f>
        <v>0.20218473834624304</v>
      </c>
      <c r="E242" s="131"/>
    </row>
    <row r="243" spans="1:6" ht="12.75">
      <c r="A243" s="1" t="s">
        <v>12</v>
      </c>
      <c r="B243" s="31">
        <v>2631690</v>
      </c>
      <c r="C243" s="81">
        <f>B243/B241</f>
        <v>0.0901291385560714</v>
      </c>
      <c r="E243" s="127"/>
      <c r="F243" s="124"/>
    </row>
    <row r="244" spans="1:5" ht="12.75">
      <c r="A244" s="1" t="s">
        <v>17</v>
      </c>
      <c r="B244" s="31">
        <v>15754447</v>
      </c>
      <c r="C244" s="81">
        <f>B244/B241</f>
        <v>0.5395524307715891</v>
      </c>
      <c r="E244" s="131"/>
    </row>
    <row r="245" spans="1:5" ht="12.75">
      <c r="A245" s="30" t="s">
        <v>15</v>
      </c>
      <c r="B245" s="31">
        <v>983936</v>
      </c>
      <c r="C245" s="81"/>
      <c r="E245" s="131"/>
    </row>
    <row r="246" spans="1:5" ht="12.75">
      <c r="A246" s="1" t="s">
        <v>26</v>
      </c>
      <c r="B246" s="31">
        <v>3925417</v>
      </c>
      <c r="C246" s="81">
        <f>B246/B241</f>
        <v>0.13443621881124224</v>
      </c>
      <c r="E246" s="131"/>
    </row>
    <row r="247" spans="1:5" ht="12.75">
      <c r="A247" s="1"/>
      <c r="B247" s="31"/>
      <c r="C247" s="67"/>
      <c r="E247" s="127"/>
    </row>
    <row r="248" spans="1:5" ht="12.75">
      <c r="A248" s="14" t="s">
        <v>156</v>
      </c>
      <c r="B248" s="73">
        <f>SUM(B249:B254)</f>
        <v>57050054</v>
      </c>
      <c r="C248" s="67"/>
      <c r="D248" s="9"/>
      <c r="E248" s="130"/>
    </row>
    <row r="249" spans="1:5" ht="12.75">
      <c r="A249" s="1" t="s">
        <v>16</v>
      </c>
      <c r="B249" s="74">
        <v>9839355</v>
      </c>
      <c r="C249" s="81">
        <f>B249/B248</f>
        <v>0.1724688113353933</v>
      </c>
      <c r="E249" s="131"/>
    </row>
    <row r="250" spans="1:5" ht="12.75">
      <c r="A250" s="2" t="s">
        <v>13</v>
      </c>
      <c r="B250" s="74">
        <f>37106696+215000</f>
        <v>37321696</v>
      </c>
      <c r="C250" s="81">
        <f>B250/B248</f>
        <v>0.6541921239899264</v>
      </c>
      <c r="E250" s="131"/>
    </row>
    <row r="251" spans="1:7" ht="12.75">
      <c r="A251" s="23" t="s">
        <v>12</v>
      </c>
      <c r="B251" s="76">
        <v>4631503</v>
      </c>
      <c r="C251" s="81">
        <f>B251/B249</f>
        <v>0.47071205378807857</v>
      </c>
      <c r="E251" s="93"/>
      <c r="G251" s="124"/>
    </row>
    <row r="252" spans="1:5" ht="12.75">
      <c r="A252" s="30" t="s">
        <v>31</v>
      </c>
      <c r="B252" s="74">
        <v>1350000</v>
      </c>
      <c r="C252" s="82"/>
      <c r="E252" s="93"/>
    </row>
    <row r="253" spans="1:5" ht="12.75">
      <c r="A253" s="30" t="s">
        <v>44</v>
      </c>
      <c r="B253" s="74">
        <v>3907500</v>
      </c>
      <c r="C253" s="82"/>
      <c r="D253" s="46"/>
      <c r="E253" s="93"/>
    </row>
    <row r="254" spans="1:5" ht="12.75">
      <c r="A254" s="30"/>
      <c r="B254" s="74"/>
      <c r="C254" s="82"/>
      <c r="E254" s="93"/>
    </row>
    <row r="255" spans="1:3" ht="12.75">
      <c r="A255" s="17" t="s">
        <v>157</v>
      </c>
      <c r="B255" s="38">
        <f>SUM(B256:B257)</f>
        <v>54287300</v>
      </c>
      <c r="C255" s="67"/>
    </row>
    <row r="256" spans="1:5" ht="12.75">
      <c r="A256" s="2" t="s">
        <v>32</v>
      </c>
      <c r="B256" s="77">
        <v>31457560</v>
      </c>
      <c r="C256" s="81">
        <f>B256/B255</f>
        <v>0.5794644419597217</v>
      </c>
      <c r="E256" s="86"/>
    </row>
    <row r="257" spans="1:6" ht="12.75">
      <c r="A257" s="2" t="s">
        <v>27</v>
      </c>
      <c r="B257" s="77">
        <v>22829740</v>
      </c>
      <c r="C257" s="81">
        <f>B257/B255</f>
        <v>0.4205355580402783</v>
      </c>
      <c r="E257" s="93"/>
      <c r="F257" s="124"/>
    </row>
    <row r="258" spans="1:5" ht="12.75">
      <c r="A258" s="17"/>
      <c r="B258" s="31"/>
      <c r="C258" s="83"/>
      <c r="E258" s="124"/>
    </row>
    <row r="259" spans="1:3" ht="12.75">
      <c r="A259" s="17" t="s">
        <v>158</v>
      </c>
      <c r="B259" s="38">
        <f>SUM(B260:B260)</f>
        <v>16362544</v>
      </c>
      <c r="C259" s="83"/>
    </row>
    <row r="260" spans="1:6" ht="12.75">
      <c r="A260" s="2" t="s">
        <v>12</v>
      </c>
      <c r="B260" s="124">
        <v>16362544</v>
      </c>
      <c r="C260" s="81">
        <f>B260/B259</f>
        <v>1</v>
      </c>
      <c r="E260" s="124"/>
      <c r="F260" s="124"/>
    </row>
    <row r="261" spans="1:3" ht="12.75">
      <c r="A261" s="1"/>
      <c r="B261" s="39"/>
      <c r="C261" s="67"/>
    </row>
    <row r="262" spans="1:3" ht="12.75">
      <c r="A262" s="17" t="s">
        <v>207</v>
      </c>
      <c r="B262" s="38">
        <f>SUM(B263:B266)</f>
        <v>8895000</v>
      </c>
      <c r="C262" s="67"/>
    </row>
    <row r="263" spans="1:5" ht="12.75">
      <c r="A263" s="1" t="s">
        <v>13</v>
      </c>
      <c r="B263" s="39">
        <v>4800000</v>
      </c>
      <c r="C263" s="81">
        <f>B263/B262</f>
        <v>0.5396290050590219</v>
      </c>
      <c r="D263" s="46"/>
      <c r="E263" s="93"/>
    </row>
    <row r="264" spans="1:5" ht="12.75">
      <c r="A264" s="2" t="s">
        <v>33</v>
      </c>
      <c r="B264" s="39">
        <v>3900000</v>
      </c>
      <c r="C264" s="81"/>
      <c r="D264" s="46"/>
      <c r="E264" s="93"/>
    </row>
    <row r="265" spans="1:5" ht="12.75">
      <c r="A265" s="2" t="s">
        <v>34</v>
      </c>
      <c r="B265" s="39">
        <v>195000</v>
      </c>
      <c r="C265" s="81"/>
      <c r="D265" s="46"/>
      <c r="E265" s="93"/>
    </row>
    <row r="266" spans="1:5" ht="12.75">
      <c r="A266" s="2"/>
      <c r="B266" s="39"/>
      <c r="C266" s="81"/>
      <c r="D266" s="46"/>
      <c r="E266" s="93"/>
    </row>
    <row r="267" spans="1:5" ht="12.75">
      <c r="A267" s="17" t="s">
        <v>208</v>
      </c>
      <c r="B267" s="38">
        <f>SUM(B268:B270)</f>
        <v>1488245</v>
      </c>
      <c r="C267" s="81"/>
      <c r="D267" s="46"/>
      <c r="E267" s="137"/>
    </row>
    <row r="268" spans="1:5" ht="12.75">
      <c r="A268" s="2" t="s">
        <v>33</v>
      </c>
      <c r="B268" s="39">
        <v>1388245</v>
      </c>
      <c r="C268" s="81"/>
      <c r="D268" s="46"/>
      <c r="E268" s="93"/>
    </row>
    <row r="269" spans="1:5" ht="12.75">
      <c r="A269" s="2" t="s">
        <v>34</v>
      </c>
      <c r="B269" s="39">
        <v>100000</v>
      </c>
      <c r="C269" s="81"/>
      <c r="D269" s="46"/>
      <c r="E269" s="93"/>
    </row>
    <row r="270" spans="1:5" ht="12.75">
      <c r="A270" s="2"/>
      <c r="B270" s="39"/>
      <c r="C270" s="81"/>
      <c r="D270" s="46"/>
      <c r="E270" s="93"/>
    </row>
    <row r="271" spans="1:5" ht="13.5" thickBot="1">
      <c r="A271" s="88" t="s">
        <v>159</v>
      </c>
      <c r="B271" s="38">
        <f>SUM(B272:B277)</f>
        <v>10980870</v>
      </c>
      <c r="C271" s="138"/>
      <c r="D271" s="46"/>
      <c r="E271" s="93"/>
    </row>
    <row r="272" spans="1:5" ht="15" thickBot="1">
      <c r="A272" s="96" t="s">
        <v>36</v>
      </c>
      <c r="B272" s="97">
        <v>6990000</v>
      </c>
      <c r="C272" s="140">
        <f>B272/B262</f>
        <v>0.7858347386172007</v>
      </c>
      <c r="D272" s="94"/>
      <c r="E272" s="93"/>
    </row>
    <row r="273" spans="1:6" ht="14.25">
      <c r="A273" s="96" t="s">
        <v>35</v>
      </c>
      <c r="B273" s="97">
        <v>495000</v>
      </c>
      <c r="C273" s="139">
        <f>B273/B262</f>
        <v>0.05564924114671164</v>
      </c>
      <c r="E273" s="93"/>
      <c r="F273" s="124"/>
    </row>
    <row r="274" spans="1:5" ht="14.25">
      <c r="A274" s="2" t="s">
        <v>33</v>
      </c>
      <c r="B274" s="97">
        <f>30000+40000+60000</f>
        <v>130000</v>
      </c>
      <c r="C274" s="81">
        <f>B274/B262</f>
        <v>0.01461495222034851</v>
      </c>
      <c r="E274" s="93"/>
    </row>
    <row r="275" spans="1:3" ht="14.25">
      <c r="A275" s="96" t="s">
        <v>27</v>
      </c>
      <c r="B275" s="97">
        <f>1026000+522000+85800+174000+880800+327270</f>
        <v>3015870</v>
      </c>
      <c r="C275" s="81">
        <f>B275/B262</f>
        <v>0.3390522765598651</v>
      </c>
    </row>
    <row r="276" spans="1:3" ht="14.25">
      <c r="A276" s="2" t="s">
        <v>34</v>
      </c>
      <c r="B276" s="97">
        <f>260000+90000</f>
        <v>350000</v>
      </c>
      <c r="C276" s="81">
        <f>B276/B262</f>
        <v>0.03934794828555368</v>
      </c>
    </row>
    <row r="277" spans="1:3" ht="14.25">
      <c r="A277" s="2"/>
      <c r="B277" s="97"/>
      <c r="C277" s="81"/>
    </row>
    <row r="278" spans="1:3" ht="15">
      <c r="A278" s="88" t="s">
        <v>160</v>
      </c>
      <c r="B278" s="98">
        <f>SUM(B279:B287)</f>
        <v>6453905</v>
      </c>
      <c r="C278" s="81"/>
    </row>
    <row r="279" spans="1:3" ht="14.25">
      <c r="A279" s="96" t="s">
        <v>13</v>
      </c>
      <c r="B279" s="97">
        <v>335000</v>
      </c>
      <c r="C279" s="81"/>
    </row>
    <row r="280" spans="1:3" ht="14.25">
      <c r="A280" s="96" t="s">
        <v>37</v>
      </c>
      <c r="B280" s="97">
        <v>5000</v>
      </c>
      <c r="C280" s="81"/>
    </row>
    <row r="281" spans="1:3" ht="14.25">
      <c r="A281" s="2" t="s">
        <v>33</v>
      </c>
      <c r="B281" s="97">
        <f>5000+5000+10000+50000+25000+5000</f>
        <v>100000</v>
      </c>
      <c r="C281" s="81"/>
    </row>
    <row r="282" spans="1:3" ht="14.25">
      <c r="A282" s="2" t="s">
        <v>34</v>
      </c>
      <c r="B282" s="97">
        <f>30000+20000</f>
        <v>50000</v>
      </c>
      <c r="C282" s="81"/>
    </row>
    <row r="283" spans="1:3" ht="14.25">
      <c r="A283" s="96" t="s">
        <v>38</v>
      </c>
      <c r="B283" s="97">
        <f>10000+10000+30000+30000+1440</f>
        <v>81440</v>
      </c>
      <c r="C283" s="81"/>
    </row>
    <row r="284" spans="1:6" ht="14.25">
      <c r="A284" s="96" t="s">
        <v>39</v>
      </c>
      <c r="B284" s="97">
        <v>654311</v>
      </c>
      <c r="C284" s="81"/>
      <c r="F284" s="93"/>
    </row>
    <row r="285" spans="1:3" ht="14.25">
      <c r="A285" s="91"/>
      <c r="B285" s="97"/>
      <c r="C285" s="81"/>
    </row>
    <row r="286" spans="1:4" ht="14.25">
      <c r="A286" s="91" t="s">
        <v>40</v>
      </c>
      <c r="B286" s="97">
        <v>5228154</v>
      </c>
      <c r="C286" s="81"/>
      <c r="D286" s="46"/>
    </row>
    <row r="287" spans="1:4" ht="14.25">
      <c r="A287" s="91"/>
      <c r="B287" s="97"/>
      <c r="C287" s="81"/>
      <c r="D287" s="46"/>
    </row>
    <row r="288" spans="1:6" ht="15">
      <c r="A288" s="17" t="s">
        <v>161</v>
      </c>
      <c r="B288" s="98">
        <f>SUM(B289)</f>
        <v>6470000</v>
      </c>
      <c r="C288" s="81"/>
      <c r="D288" s="46"/>
      <c r="E288" s="93"/>
      <c r="F288" s="93"/>
    </row>
    <row r="289" spans="1:4" ht="14.25">
      <c r="A289" s="96" t="s">
        <v>36</v>
      </c>
      <c r="B289" s="97">
        <v>6470000</v>
      </c>
      <c r="C289" s="81"/>
      <c r="D289" s="46"/>
    </row>
    <row r="290" spans="1:4" ht="14.25">
      <c r="A290" s="91"/>
      <c r="B290" s="97"/>
      <c r="C290" s="81"/>
      <c r="D290" s="46"/>
    </row>
    <row r="291" spans="1:4" ht="15">
      <c r="A291" s="17" t="s">
        <v>162</v>
      </c>
      <c r="B291" s="98">
        <f>SUM(B292:B294)</f>
        <v>1580890</v>
      </c>
      <c r="C291" s="81"/>
      <c r="D291" s="46"/>
    </row>
    <row r="292" spans="1:4" ht="14.25">
      <c r="A292" s="96" t="s">
        <v>43</v>
      </c>
      <c r="B292" s="97">
        <v>1505890</v>
      </c>
      <c r="C292" s="81"/>
      <c r="D292" s="46"/>
    </row>
    <row r="293" spans="1:4" ht="14.25">
      <c r="A293" s="96" t="s">
        <v>13</v>
      </c>
      <c r="B293" s="97">
        <v>75000</v>
      </c>
      <c r="C293" s="81"/>
      <c r="D293" s="46"/>
    </row>
    <row r="294" spans="1:4" ht="14.25">
      <c r="A294" s="91"/>
      <c r="B294" s="97"/>
      <c r="C294" s="81"/>
      <c r="D294" s="46"/>
    </row>
    <row r="295" spans="1:4" ht="15">
      <c r="A295" s="95" t="s">
        <v>163</v>
      </c>
      <c r="B295" s="98">
        <f>SUM(B296:B298)</f>
        <v>10455751</v>
      </c>
      <c r="C295" s="81"/>
      <c r="D295" s="46"/>
    </row>
    <row r="296" spans="1:4" ht="14.25">
      <c r="A296" s="96" t="s">
        <v>36</v>
      </c>
      <c r="B296" s="97">
        <f>7590000+445000+50000+25000+25000+300000+300000+300000</f>
        <v>9035000</v>
      </c>
      <c r="C296" s="81"/>
      <c r="D296" s="46"/>
    </row>
    <row r="297" spans="1:4" ht="14.25">
      <c r="A297" s="96" t="s">
        <v>42</v>
      </c>
      <c r="B297" s="97">
        <v>81440</v>
      </c>
      <c r="C297" s="81"/>
      <c r="D297" s="46"/>
    </row>
    <row r="298" spans="1:4" ht="14.25">
      <c r="A298" s="96" t="s">
        <v>41</v>
      </c>
      <c r="B298" s="97">
        <v>1339311</v>
      </c>
      <c r="C298" s="81"/>
      <c r="D298" s="46"/>
    </row>
    <row r="299" spans="1:3" ht="12.75">
      <c r="A299" s="1"/>
      <c r="B299" s="39"/>
      <c r="C299" s="81"/>
    </row>
    <row r="300" spans="1:5" ht="12.75">
      <c r="A300" s="17" t="s">
        <v>46</v>
      </c>
      <c r="B300" s="38">
        <f>SUM(B301:B304)</f>
        <v>4132984</v>
      </c>
      <c r="C300" s="81"/>
      <c r="D300" s="9"/>
      <c r="E300" s="124"/>
    </row>
    <row r="301" spans="1:3" ht="12.75">
      <c r="A301" s="2" t="s">
        <v>34</v>
      </c>
      <c r="B301" s="39">
        <v>555000</v>
      </c>
      <c r="C301" s="81">
        <f>B301/B300</f>
        <v>0.13428554284265315</v>
      </c>
    </row>
    <row r="302" spans="1:5" ht="14.25">
      <c r="A302" s="96" t="s">
        <v>42</v>
      </c>
      <c r="B302" s="39">
        <v>2680040</v>
      </c>
      <c r="C302" s="81">
        <f>B302/B300</f>
        <v>0.6484515788108544</v>
      </c>
      <c r="E302" s="93"/>
    </row>
    <row r="303" spans="1:6" ht="12.75">
      <c r="A303" s="2" t="s">
        <v>12</v>
      </c>
      <c r="B303" s="39">
        <v>897944</v>
      </c>
      <c r="C303" s="67"/>
      <c r="E303" s="93"/>
      <c r="F303" s="124"/>
    </row>
    <row r="304" spans="1:5" ht="12.75">
      <c r="A304" s="1"/>
      <c r="B304" s="39"/>
      <c r="C304" s="67"/>
      <c r="E304" s="93"/>
    </row>
    <row r="305" spans="1:5" ht="12.75">
      <c r="A305" s="19" t="s">
        <v>1</v>
      </c>
      <c r="B305" s="38">
        <f>B232+B241+B248+B255+B259+B262+B267+B271+B278+B288+B291+B295+B300</f>
        <v>344905358</v>
      </c>
      <c r="C305" s="67"/>
      <c r="E305" s="93"/>
    </row>
    <row r="306" spans="1:3" ht="12.75">
      <c r="A306" s="1"/>
      <c r="B306" s="31"/>
      <c r="C306" s="67"/>
    </row>
    <row r="307" spans="1:5" ht="12.75">
      <c r="A307" s="19" t="s">
        <v>164</v>
      </c>
      <c r="B307" s="31">
        <v>28133582</v>
      </c>
      <c r="C307" s="67"/>
      <c r="E307" s="124"/>
    </row>
    <row r="308" spans="1:3" ht="13.5" thickBot="1">
      <c r="A308" s="71" t="s">
        <v>165</v>
      </c>
      <c r="B308" s="99"/>
      <c r="C308" s="67"/>
    </row>
    <row r="309" spans="1:6" ht="13.5" thickBot="1">
      <c r="A309" s="10" t="s">
        <v>8</v>
      </c>
      <c r="B309" s="78">
        <f>B305+B307</f>
        <v>373038940</v>
      </c>
      <c r="C309" s="69"/>
      <c r="E309" s="124"/>
      <c r="F309" s="124"/>
    </row>
    <row r="311" ht="12.75">
      <c r="B311" s="105">
        <f>B216-B309</f>
        <v>0</v>
      </c>
    </row>
    <row r="312" ht="12.75">
      <c r="D312" s="9"/>
    </row>
    <row r="313" spans="1:2" ht="12.75">
      <c r="A313" s="141" t="s">
        <v>166</v>
      </c>
      <c r="B313" s="159" t="s">
        <v>167</v>
      </c>
    </row>
    <row r="314" spans="2:4" ht="12.75">
      <c r="B314" s="41"/>
      <c r="D314" s="9"/>
    </row>
    <row r="315" ht="12.75">
      <c r="B315" s="41"/>
    </row>
    <row r="316" spans="1:2" ht="12.75">
      <c r="A316" t="s">
        <v>51</v>
      </c>
      <c r="B316" s="41" t="s">
        <v>24</v>
      </c>
    </row>
    <row r="317" ht="12.75">
      <c r="B317" s="41"/>
    </row>
    <row r="318" ht="12.75">
      <c r="B318" s="41"/>
    </row>
    <row r="319" ht="12.75">
      <c r="B319" s="41"/>
    </row>
    <row r="320" ht="12.75">
      <c r="B320" s="41"/>
    </row>
    <row r="321" ht="12.75">
      <c r="B321" s="41"/>
    </row>
    <row r="322" ht="12.75">
      <c r="B322" s="41"/>
    </row>
    <row r="323" ht="12.75">
      <c r="B323" s="42"/>
    </row>
  </sheetData>
  <sheetProtection/>
  <mergeCells count="11">
    <mergeCell ref="A17:C17"/>
    <mergeCell ref="A18:C18"/>
    <mergeCell ref="A52:C52"/>
    <mergeCell ref="A53:C53"/>
    <mergeCell ref="A55:C55"/>
    <mergeCell ref="A1:C1"/>
    <mergeCell ref="A2:C2"/>
    <mergeCell ref="A3:C3"/>
    <mergeCell ref="A4:C4"/>
    <mergeCell ref="A5:C5"/>
    <mergeCell ref="A6:C6"/>
  </mergeCells>
  <printOptions/>
  <pageMargins left="0.7874015748031497" right="0.6692913385826772" top="0.4724409448818898" bottom="0.8661417322834646" header="0.31496062992125984" footer="0.5118110236220472"/>
  <pageSetup horizontalDpi="300" verticalDpi="300" orientation="portrait" paperSize="9" r:id="rId4"/>
  <headerFooter alignWithMargins="0">
    <oddFooter>&amp;R&amp;8Rapport financier AAS 2011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3"/>
  <sheetViews>
    <sheetView zoomScalePageLayoutView="0" workbookViewId="0" topLeftCell="A1">
      <selection activeCell="A3" sqref="A3:D3"/>
    </sheetView>
  </sheetViews>
  <sheetFormatPr defaultColWidth="11.421875" defaultRowHeight="12.75"/>
  <cols>
    <col min="1" max="1" width="47.00390625" style="0" customWidth="1"/>
    <col min="2" max="2" width="17.140625" style="0" customWidth="1"/>
    <col min="3" max="3" width="53.8515625" style="0" customWidth="1"/>
    <col min="4" max="4" width="16.8515625" style="0" customWidth="1"/>
    <col min="6" max="7" width="13.8515625" style="0" bestFit="1" customWidth="1"/>
  </cols>
  <sheetData>
    <row r="3" spans="1:4" ht="18">
      <c r="A3" s="172" t="s">
        <v>168</v>
      </c>
      <c r="B3" s="172"/>
      <c r="C3" s="172"/>
      <c r="D3" s="172"/>
    </row>
    <row r="5" spans="1:4" ht="12.75">
      <c r="A5" s="169" t="s">
        <v>169</v>
      </c>
      <c r="B5" s="170"/>
      <c r="C5" s="169" t="s">
        <v>201</v>
      </c>
      <c r="D5" s="171"/>
    </row>
    <row r="6" spans="1:4" ht="12.75">
      <c r="A6" s="110" t="s">
        <v>202</v>
      </c>
      <c r="B6" s="110" t="s">
        <v>203</v>
      </c>
      <c r="C6" s="110" t="s">
        <v>202</v>
      </c>
      <c r="D6" s="110" t="s">
        <v>203</v>
      </c>
    </row>
    <row r="7" spans="1:4" ht="12.75">
      <c r="A7" s="111" t="s">
        <v>168</v>
      </c>
      <c r="B7" s="112">
        <f>SUM(B9:B16)</f>
        <v>322581295</v>
      </c>
      <c r="C7" s="111"/>
      <c r="D7" s="111"/>
    </row>
    <row r="8" spans="1:4" ht="12.75">
      <c r="A8" s="113"/>
      <c r="B8" s="113"/>
      <c r="C8" s="113"/>
      <c r="D8" s="113"/>
    </row>
    <row r="9" spans="1:7" ht="12.75">
      <c r="A9" s="44" t="s">
        <v>181</v>
      </c>
      <c r="B9" s="114">
        <f>'RAPPORT GLOBAL AAS 2011 (2)'!B62</f>
        <v>140797376</v>
      </c>
      <c r="C9" s="115" t="s">
        <v>200</v>
      </c>
      <c r="D9" s="116">
        <v>283578377</v>
      </c>
      <c r="F9" s="9"/>
      <c r="G9" s="9"/>
    </row>
    <row r="10" spans="1:4" ht="12.75">
      <c r="A10" s="44" t="s">
        <v>182</v>
      </c>
      <c r="B10" s="114">
        <f>'RAPPORT GLOBAL AAS 2011 (2)'!B97</f>
        <v>22680000</v>
      </c>
      <c r="C10" s="110" t="s">
        <v>198</v>
      </c>
      <c r="D10" s="116">
        <v>28133582</v>
      </c>
    </row>
    <row r="11" spans="1:6" ht="12.75">
      <c r="A11" s="44" t="s">
        <v>183</v>
      </c>
      <c r="B11" s="114">
        <f>'RAPPORT GLOBAL AAS 2011 (2)'!B107</f>
        <v>52960648</v>
      </c>
      <c r="C11" s="110"/>
      <c r="D11" s="116"/>
      <c r="F11" s="9"/>
    </row>
    <row r="12" spans="1:6" ht="12.75">
      <c r="A12" s="117" t="s">
        <v>184</v>
      </c>
      <c r="B12" s="116">
        <f>'RAPPORT GLOBAL AAS 2011 (2)'!B139</f>
        <v>51636292</v>
      </c>
      <c r="C12" s="115"/>
      <c r="D12" s="116"/>
      <c r="F12" s="9"/>
    </row>
    <row r="13" spans="1:6" ht="12.75">
      <c r="A13" s="2" t="s">
        <v>158</v>
      </c>
      <c r="B13" s="116">
        <f>'RAPPORT GLOBAL AAS 2011 (2)'!B143</f>
        <v>15526502</v>
      </c>
      <c r="C13" s="115"/>
      <c r="D13" s="116"/>
      <c r="F13" s="9"/>
    </row>
    <row r="14" spans="1:4" ht="12.75">
      <c r="A14" s="2" t="s">
        <v>185</v>
      </c>
      <c r="B14" s="116">
        <f>'RAPPORT GLOBAL AAS 2011 (2)'!B135</f>
        <v>11228400</v>
      </c>
      <c r="C14" s="115"/>
      <c r="D14" s="116"/>
    </row>
    <row r="15" spans="1:4" ht="12.75">
      <c r="A15" s="117" t="s">
        <v>186</v>
      </c>
      <c r="B15" s="116">
        <f>'RAPPORT GLOBAL AAS 2011 (2)'!B146</f>
        <v>16083131</v>
      </c>
      <c r="C15" s="115"/>
      <c r="D15" s="116"/>
    </row>
    <row r="16" spans="1:4" ht="12.75">
      <c r="A16" s="110" t="s">
        <v>187</v>
      </c>
      <c r="B16" s="116">
        <f>11528031+1865+139050</f>
        <v>11668946</v>
      </c>
      <c r="C16" s="110"/>
      <c r="D16" s="116"/>
    </row>
    <row r="17" spans="1:4" ht="12.75">
      <c r="A17" s="110"/>
      <c r="B17" s="116"/>
      <c r="C17" s="110"/>
      <c r="D17" s="116"/>
    </row>
    <row r="18" spans="1:4" ht="12.75">
      <c r="A18" s="111" t="s">
        <v>188</v>
      </c>
      <c r="B18" s="112">
        <f>SUM(B19:B30)</f>
        <v>46324661</v>
      </c>
      <c r="C18" s="111"/>
      <c r="D18" s="111"/>
    </row>
    <row r="19" spans="1:4" ht="12.75">
      <c r="A19" s="110"/>
      <c r="B19" s="116"/>
      <c r="C19" s="110"/>
      <c r="D19" s="116"/>
    </row>
    <row r="20" spans="1:7" ht="12.75">
      <c r="A20" s="45" t="s">
        <v>189</v>
      </c>
      <c r="B20" s="116">
        <f>'RAPPORT GLOBAL AAS 2011 (2)'!B151</f>
        <v>8895000</v>
      </c>
      <c r="C20" s="115" t="s">
        <v>199</v>
      </c>
      <c r="D20" s="116">
        <v>46324661</v>
      </c>
      <c r="F20" s="46"/>
      <c r="G20" s="9"/>
    </row>
    <row r="21" spans="1:4" ht="12.75">
      <c r="A21" s="45" t="s">
        <v>190</v>
      </c>
      <c r="B21" s="116">
        <f>'RAPPORT GLOBAL AAS 2011 (2)'!B160</f>
        <v>1488245</v>
      </c>
      <c r="C21" s="110" t="s">
        <v>198</v>
      </c>
      <c r="D21" s="118">
        <v>0</v>
      </c>
    </row>
    <row r="22" spans="1:6" ht="12.75">
      <c r="A22" s="119" t="s">
        <v>191</v>
      </c>
      <c r="B22" s="116">
        <f>'RAPPORT GLOBAL AAS 2011 (2)'!B166-B24</f>
        <v>10980070</v>
      </c>
      <c r="C22" s="110"/>
      <c r="D22" s="116"/>
      <c r="F22" s="9"/>
    </row>
    <row r="23" spans="1:4" ht="12.75">
      <c r="A23" s="135" t="s">
        <v>192</v>
      </c>
      <c r="B23" s="114">
        <f>'RAPPORT GLOBAL AAS 2011 (2)'!B175</f>
        <v>1048416</v>
      </c>
      <c r="C23" s="110"/>
      <c r="D23" s="116"/>
    </row>
    <row r="24" spans="1:4" ht="12.75">
      <c r="A24" s="117" t="s">
        <v>158</v>
      </c>
      <c r="B24" s="114">
        <f>'RAPPORT GLOBAL AAS 2011 (2)'!B173</f>
        <v>5228154</v>
      </c>
      <c r="C24" s="110"/>
      <c r="D24" s="116"/>
    </row>
    <row r="25" spans="1:4" ht="12.75">
      <c r="A25" s="133" t="s">
        <v>45</v>
      </c>
      <c r="B25" s="114"/>
      <c r="C25" s="110"/>
      <c r="D25" s="116"/>
    </row>
    <row r="26" spans="1:6" ht="12.75">
      <c r="A26" s="2" t="s">
        <v>193</v>
      </c>
      <c r="B26" s="114">
        <f>'RAPPORT GLOBAL AAS 2011 (2)'!B187</f>
        <v>1580890</v>
      </c>
      <c r="C26" s="110"/>
      <c r="D26" s="116"/>
      <c r="F26" s="9"/>
    </row>
    <row r="27" spans="1:4" ht="12.75">
      <c r="A27" s="2" t="s">
        <v>161</v>
      </c>
      <c r="B27" s="114">
        <f>'RAPPORT GLOBAL AAS 2011 (2)'!B184</f>
        <v>6470000</v>
      </c>
      <c r="C27" s="110"/>
      <c r="D27" s="116"/>
    </row>
    <row r="28" spans="1:4" ht="12.75">
      <c r="A28" s="135" t="s">
        <v>194</v>
      </c>
      <c r="B28" s="114">
        <f>'RAPPORT GLOBAL AAS 2011 (2)'!B194</f>
        <v>9431212</v>
      </c>
      <c r="C28" s="110"/>
      <c r="D28" s="116"/>
    </row>
    <row r="29" spans="1:4" ht="12.75">
      <c r="A29" s="119"/>
      <c r="B29" s="114"/>
      <c r="C29" s="110"/>
      <c r="D29" s="116"/>
    </row>
    <row r="30" spans="1:4" ht="12.75">
      <c r="A30" s="110" t="s">
        <v>187</v>
      </c>
      <c r="B30" s="134">
        <v>1202674</v>
      </c>
      <c r="C30" s="113"/>
      <c r="D30" s="116"/>
    </row>
    <row r="31" spans="1:4" ht="12.75">
      <c r="A31" s="110"/>
      <c r="B31" s="116"/>
      <c r="C31" s="110"/>
      <c r="D31" s="116"/>
    </row>
    <row r="32" spans="1:7" ht="12.75">
      <c r="A32" s="111" t="s">
        <v>195</v>
      </c>
      <c r="B32" s="120">
        <f>SUM(B34:B35)</f>
        <v>4132984</v>
      </c>
      <c r="C32" s="115" t="s">
        <v>197</v>
      </c>
      <c r="D32" s="116">
        <v>4132984</v>
      </c>
      <c r="G32" s="9"/>
    </row>
    <row r="33" spans="1:4" ht="12.75">
      <c r="A33" s="113"/>
      <c r="B33" s="116"/>
      <c r="C33" s="110" t="s">
        <v>198</v>
      </c>
      <c r="D33" s="121">
        <v>0</v>
      </c>
    </row>
    <row r="34" spans="1:4" ht="12.75">
      <c r="A34" s="119" t="s">
        <v>196</v>
      </c>
      <c r="B34" s="116">
        <f>'RAPPORT GLOBAL AAS 2011 (2)'!B204</f>
        <v>3956840</v>
      </c>
      <c r="C34" s="113"/>
      <c r="D34" s="113"/>
    </row>
    <row r="35" spans="1:4" ht="12.75">
      <c r="A35" s="110" t="s">
        <v>187</v>
      </c>
      <c r="B35" s="116">
        <v>176144</v>
      </c>
      <c r="C35" s="113"/>
      <c r="D35" s="113"/>
    </row>
    <row r="36" spans="1:4" ht="12.75">
      <c r="A36" s="119"/>
      <c r="B36" s="116"/>
      <c r="C36" s="113"/>
      <c r="D36" s="113"/>
    </row>
    <row r="37" spans="1:4" ht="12.75">
      <c r="A37" s="122" t="s">
        <v>25</v>
      </c>
      <c r="B37" s="123">
        <f>B7+B18+B32</f>
        <v>373038940</v>
      </c>
      <c r="C37" s="122" t="s">
        <v>25</v>
      </c>
      <c r="D37" s="120">
        <f>D9+D10+D20+D21+D32+D33</f>
        <v>362169604</v>
      </c>
    </row>
    <row r="39" ht="12.75">
      <c r="B39" s="9"/>
    </row>
    <row r="40" spans="2:4" ht="12.75">
      <c r="B40" s="9"/>
      <c r="D40" s="9"/>
    </row>
    <row r="43" ht="12.75">
      <c r="B43" s="9"/>
    </row>
  </sheetData>
  <sheetProtection/>
  <mergeCells count="3">
    <mergeCell ref="A5:B5"/>
    <mergeCell ref="C5:D5"/>
    <mergeCell ref="A3:D3"/>
  </mergeCells>
  <printOptions/>
  <pageMargins left="0.17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koama issoufou</dc:creator>
  <cp:keywords/>
  <dc:description/>
  <cp:lastModifiedBy>tissoufou</cp:lastModifiedBy>
  <cp:lastPrinted>2013-05-08T10:59:22Z</cp:lastPrinted>
  <dcterms:created xsi:type="dcterms:W3CDTF">2008-04-25T12:12:54Z</dcterms:created>
  <dcterms:modified xsi:type="dcterms:W3CDTF">2013-08-21T18:35:51Z</dcterms:modified>
  <cp:category/>
  <cp:version/>
  <cp:contentType/>
  <cp:contentStatus/>
</cp:coreProperties>
</file>