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7"/>
  </bookViews>
  <sheets>
    <sheet name="Charsadda" sheetId="1" r:id="rId1"/>
    <sheet name="Shikarpur" sheetId="2" r:id="rId2"/>
    <sheet name="Swat" sheetId="3" r:id="rId3"/>
    <sheet name="Leepa " sheetId="4" r:id="rId4"/>
    <sheet name="Head Office" sheetId="5" r:id="rId5"/>
    <sheet name="School Health Prog" sheetId="6" r:id="rId6"/>
    <sheet name="Special Patients" sheetId="7" r:id="rId7"/>
    <sheet name="Summary" sheetId="8" r:id="rId8"/>
  </sheets>
  <definedNames>
    <definedName name="_xlnm.Print_Area" localSheetId="7">'Summary'!$A$1:$R$15</definedName>
  </definedNames>
  <calcPr fullCalcOnLoad="1"/>
</workbook>
</file>

<file path=xl/sharedStrings.xml><?xml version="1.0" encoding="utf-8"?>
<sst xmlns="http://schemas.openxmlformats.org/spreadsheetml/2006/main" count="501" uniqueCount="210">
  <si>
    <t>Medicines</t>
  </si>
  <si>
    <t>Total</t>
  </si>
  <si>
    <t>Food</t>
  </si>
  <si>
    <t>Ward Maintenance</t>
  </si>
  <si>
    <t>Bank Service Charges</t>
  </si>
  <si>
    <t>Region:</t>
  </si>
  <si>
    <t>Province:</t>
  </si>
  <si>
    <t>S.No.</t>
  </si>
  <si>
    <t>Description</t>
  </si>
  <si>
    <t>Unit</t>
  </si>
  <si>
    <t xml:space="preserve"> # Units </t>
  </si>
  <si>
    <t xml:space="preserve"> USD </t>
  </si>
  <si>
    <t>Human Resources</t>
  </si>
  <si>
    <t>Technical Staff</t>
  </si>
  <si>
    <t>Per month</t>
  </si>
  <si>
    <t>Sub total - Technical Staff</t>
  </si>
  <si>
    <t>Support Staff</t>
  </si>
  <si>
    <t>Sub total - Support Staff</t>
  </si>
  <si>
    <t>Sub total - Human Resources</t>
  </si>
  <si>
    <t>Travel</t>
  </si>
  <si>
    <t>Vehicle Hire</t>
  </si>
  <si>
    <t>Sub - total Travel</t>
  </si>
  <si>
    <t>Lump sum</t>
  </si>
  <si>
    <t>Other Operations Cost</t>
  </si>
  <si>
    <t>Electricity</t>
  </si>
  <si>
    <t>Gas</t>
  </si>
  <si>
    <t>Telephone</t>
  </si>
  <si>
    <t>Office Stationery</t>
  </si>
  <si>
    <t>Sub - total Other Operations Cost</t>
  </si>
  <si>
    <t>Materials and Supplies</t>
  </si>
  <si>
    <t>Hygiene Kits for Pregnant women</t>
  </si>
  <si>
    <t>Per unit</t>
  </si>
  <si>
    <t>Sub - total Material &amp; Supplies</t>
  </si>
  <si>
    <t>Transport Material &amp; Supplies</t>
  </si>
  <si>
    <t>Sub total Transp. Mate. &amp; Supplies</t>
  </si>
  <si>
    <t>Services</t>
  </si>
  <si>
    <t>Sub - total Services</t>
  </si>
  <si>
    <t xml:space="preserve"> TOTAL</t>
  </si>
  <si>
    <t>Pharmacist (1)</t>
  </si>
  <si>
    <t>Cleaning Supplies / Laundry</t>
  </si>
  <si>
    <t>Emergency Medical supplies</t>
  </si>
  <si>
    <t>General Supplies</t>
  </si>
  <si>
    <t>Courier Service</t>
  </si>
  <si>
    <t>Misc</t>
  </si>
  <si>
    <t>PKR</t>
  </si>
  <si>
    <t xml:space="preserve"> Unit Rate</t>
  </si>
  <si>
    <t>USD</t>
  </si>
  <si>
    <t>Charsadda</t>
  </si>
  <si>
    <t>Swat</t>
  </si>
  <si>
    <t>Region: Islamabad</t>
  </si>
  <si>
    <t>Per Month</t>
  </si>
  <si>
    <t>Office Rent</t>
  </si>
  <si>
    <t>Unit Rate</t>
  </si>
  <si>
    <t>Manager Finance (100 % Head Office)</t>
  </si>
  <si>
    <t>A/C Tax Consultant (100 % Head Office)</t>
  </si>
  <si>
    <t>Purchaser (100 % Head Office)</t>
  </si>
  <si>
    <t>Office Boy (100 % Head Office)</t>
  </si>
  <si>
    <t>Driver (100 % Field)</t>
  </si>
  <si>
    <t>Vehicle Rent  (80% Field, 20% Head Office)</t>
  </si>
  <si>
    <t>Electricity (100 % Head Office)</t>
  </si>
  <si>
    <t>Gas (100 % Head Office)</t>
  </si>
  <si>
    <t>Telephone (100 % Head Office)</t>
  </si>
  <si>
    <t>Head Office</t>
  </si>
  <si>
    <t>Highway Toll 100 % Field</t>
  </si>
  <si>
    <t>Unit rate</t>
  </si>
  <si>
    <t>Food (Rs. 75,000 Head Office, Rs 35,000 Field)</t>
  </si>
  <si>
    <t>Field</t>
  </si>
  <si>
    <t xml:space="preserve"> No of Units</t>
  </si>
  <si>
    <t xml:space="preserve"> Unit rate  </t>
  </si>
  <si>
    <t>in Rs</t>
  </si>
  <si>
    <t xml:space="preserve"> in USD </t>
  </si>
  <si>
    <t>Receptionist (1)</t>
  </si>
  <si>
    <t>Guards (2)</t>
  </si>
  <si>
    <t>Ward Cleaning Material</t>
  </si>
  <si>
    <t xml:space="preserve">Head Office Islamabad </t>
  </si>
  <si>
    <t>Generator Fuel</t>
  </si>
  <si>
    <t>Ward Staff (4)</t>
  </si>
  <si>
    <t>Lab Tech (1)</t>
  </si>
  <si>
    <t>Medical Tech (1)</t>
  </si>
  <si>
    <t>Sub Total - Technical Staff</t>
  </si>
  <si>
    <t>Project Manager (1)</t>
  </si>
  <si>
    <t>Computer Operator (1)</t>
  </si>
  <si>
    <t>Wacthman (2)</t>
  </si>
  <si>
    <t>Aya (2)</t>
  </si>
  <si>
    <t>Driver (1)</t>
  </si>
  <si>
    <t>Sweeper (3)</t>
  </si>
  <si>
    <t>Sub Total - Support Staff</t>
  </si>
  <si>
    <t>Sub Total - Human Resources</t>
  </si>
  <si>
    <t>Sub - Total Travel</t>
  </si>
  <si>
    <t>Sub - Total Other Operations Costs</t>
  </si>
  <si>
    <t>Medicines and Medical Supplies</t>
  </si>
  <si>
    <t>Sub - Total Material &amp; Supplies</t>
  </si>
  <si>
    <t>Truck</t>
  </si>
  <si>
    <t>Sub Total Transp. Mate. &amp; Supplies</t>
  </si>
  <si>
    <t>Monitoring and Evaluation</t>
  </si>
  <si>
    <t>Admin &amp; Finance</t>
  </si>
  <si>
    <t>Sub - Total Services</t>
  </si>
  <si>
    <t>HR Manager (100 % Head Office)</t>
  </si>
  <si>
    <t>Assistant Manager Finance (100 % Head Office)</t>
  </si>
  <si>
    <t>Chef (2) (100 % Head Office)</t>
  </si>
  <si>
    <t xml:space="preserve"> </t>
  </si>
  <si>
    <t>Pediatric Doctors (2)</t>
  </si>
  <si>
    <t>EMT (1)</t>
  </si>
  <si>
    <t>OT Assistant (1)</t>
  </si>
  <si>
    <t>Aya (1)</t>
  </si>
  <si>
    <t>1,17</t>
  </si>
  <si>
    <t>Guards (3)</t>
  </si>
  <si>
    <t>Nursing Staff (4)</t>
  </si>
  <si>
    <t>Male Physicain (1)</t>
  </si>
  <si>
    <t>Female Physician (1)</t>
  </si>
  <si>
    <t>Azad Kashmir</t>
  </si>
  <si>
    <t>Government Male Physician (1)</t>
  </si>
  <si>
    <t>Nursing Staff (3)</t>
  </si>
  <si>
    <t>LHV (1)</t>
  </si>
  <si>
    <t>Assistant Project Manager (1)</t>
  </si>
  <si>
    <t>Sweeper (2)</t>
  </si>
  <si>
    <t>Total Per Month</t>
  </si>
  <si>
    <t>Female Doctor (1)</t>
  </si>
  <si>
    <t>Emergency Room Tech (1)</t>
  </si>
  <si>
    <t xml:space="preserve"> Total per month </t>
  </si>
  <si>
    <t>Janitors (3)</t>
  </si>
  <si>
    <t>Assistant Phramacist (1)</t>
  </si>
  <si>
    <t>OT Tech (1)</t>
  </si>
  <si>
    <t>Assistant Project Manager (N/A)</t>
  </si>
  <si>
    <t>Watchman (1)</t>
  </si>
  <si>
    <t>Chef (1)</t>
  </si>
  <si>
    <t>Communication / Internet</t>
  </si>
  <si>
    <t>Rent / Office</t>
  </si>
  <si>
    <t>Office / General Supplies</t>
  </si>
  <si>
    <t xml:space="preserve">Vehicle Fuel </t>
  </si>
  <si>
    <t>Office Supplies</t>
  </si>
  <si>
    <t>Vehicle Maintenance / Repair</t>
  </si>
  <si>
    <t>Natural Gas</t>
  </si>
  <si>
    <t>Domestic Transportation</t>
  </si>
  <si>
    <t xml:space="preserve">Per Month </t>
  </si>
  <si>
    <t>Per Month Top Up</t>
  </si>
  <si>
    <t>Lump Sum</t>
  </si>
  <si>
    <t>Office / Manager ( 50% Field 50% Head Office)</t>
  </si>
  <si>
    <t>Deputy Director Operations (100 % Field)</t>
  </si>
  <si>
    <t>Pharmacy Manager (50% Field, 50% Head Office)</t>
  </si>
  <si>
    <t>ED (50 % Field, 50 % Head Office)</t>
  </si>
  <si>
    <t>Assistant Director (70 % Field 30 % Head office)</t>
  </si>
  <si>
    <t>Guard (1) (100 % Head Office)</t>
  </si>
  <si>
    <t>Janitor  (1) (100 % Head Office)</t>
  </si>
  <si>
    <t>Domestic Taxi Fare (60% Head Office, 40% Field)</t>
  </si>
  <si>
    <t>Communication / Internet (50 % HO, 50% Field)</t>
  </si>
  <si>
    <t>Medicine Support / Other</t>
  </si>
  <si>
    <t>Medicine support / Other</t>
  </si>
  <si>
    <t>Nurses for Pediatric Ward (1)</t>
  </si>
  <si>
    <t>Medical Technician (1)</t>
  </si>
  <si>
    <t>Janitors (2)</t>
  </si>
  <si>
    <t>Vehicle Rent / Domestic Transportation</t>
  </si>
  <si>
    <t>Rent / Utilities</t>
  </si>
  <si>
    <t>Office Support and Supplies</t>
  </si>
  <si>
    <t>Transportation for Medicines</t>
  </si>
  <si>
    <t>PerMonth</t>
  </si>
  <si>
    <t>Office Repair</t>
  </si>
  <si>
    <t>Vehicle Fuel</t>
  </si>
  <si>
    <t>Special Patients Project</t>
  </si>
  <si>
    <t>Charsadda Family Health Center</t>
  </si>
  <si>
    <t>Shikarpur Pediatric Center</t>
  </si>
  <si>
    <t>Swat Moth &amp; Child Health Center</t>
  </si>
  <si>
    <t>Field Visits Budget (in Head Office Budget)</t>
  </si>
  <si>
    <t>Intern (4)</t>
  </si>
  <si>
    <t>School Health Program</t>
  </si>
  <si>
    <t xml:space="preserve">Finance and Administration </t>
  </si>
  <si>
    <t xml:space="preserve">Monitoring and Evaluation </t>
  </si>
  <si>
    <t>Total Cost for One Medical Camp</t>
  </si>
  <si>
    <t>There would be 26 medical camps in a month</t>
  </si>
  <si>
    <t>Estimated One Month Budget for School Health Program</t>
  </si>
  <si>
    <t>Estimated One Month Budget for Special Patients Project</t>
  </si>
  <si>
    <t>Tution Fees</t>
  </si>
  <si>
    <t>Surgery Costs</t>
  </si>
  <si>
    <t>Home Health Support</t>
  </si>
  <si>
    <t>Transportation Costs</t>
  </si>
  <si>
    <t xml:space="preserve">Job Skills / Livelihood Development </t>
  </si>
  <si>
    <t>Total Cost for 26 Medical Camps</t>
  </si>
  <si>
    <t>Salary for One Doctor</t>
  </si>
  <si>
    <t>Salary for One EMT</t>
  </si>
  <si>
    <t>Salary for Two Community Mobilizers</t>
  </si>
  <si>
    <t>Food for Staff &amp; Volunteers</t>
  </si>
  <si>
    <t>Transportation Cost for Staff / Medicines / Supplies</t>
  </si>
  <si>
    <t xml:space="preserve">Total  </t>
  </si>
  <si>
    <t>Projects</t>
  </si>
  <si>
    <t>Khyber Pakhtunkhwa</t>
  </si>
  <si>
    <t>Vehicle fuel (Ambulance Fuel)</t>
  </si>
  <si>
    <t>Medicine / Other</t>
  </si>
  <si>
    <t>Nutrition / Hygiene Kits</t>
  </si>
  <si>
    <t>Pediatric Doctor (1)</t>
  </si>
  <si>
    <t>Nurses for Pediatric Ward (3)</t>
  </si>
  <si>
    <t>Shikarpur</t>
  </si>
  <si>
    <t>Sindh</t>
  </si>
  <si>
    <t xml:space="preserve">Province:                                                        </t>
  </si>
  <si>
    <t xml:space="preserve">Region:                                                           </t>
  </si>
  <si>
    <t>Estimated One Month Budget CDRS Support to Leepa Rural Health Center</t>
  </si>
  <si>
    <t>Leepa Valley</t>
  </si>
  <si>
    <t>Printing / Materials for Education</t>
  </si>
  <si>
    <t>Office Supplies / Maintenance</t>
  </si>
  <si>
    <t>Estimated One Month Budget for CDRS Family Health Center, Charsadda</t>
  </si>
  <si>
    <t>Estimated One Month Budget CDRS Mother &amp; Child Health Center, Bagh Deri, Swat</t>
  </si>
  <si>
    <t>Estimated One Month Budget CDRS Pediatric Ward, Shikarpur Civil Hospital</t>
  </si>
  <si>
    <t>Medical Tech / Dispenser (1)</t>
  </si>
  <si>
    <t>Vehicle Fuel (30 % Head Office, 70 % Field)</t>
  </si>
  <si>
    <t>Office Supplies (100 % Head Office)</t>
  </si>
  <si>
    <t>Office Repair / Maintenance</t>
  </si>
  <si>
    <t xml:space="preserve">Vehicle Repair / Maintenance </t>
  </si>
  <si>
    <t>Estimated One Month Budget for CDRS Head Office And Field Visits</t>
  </si>
  <si>
    <t>Accommodations / Financial Support</t>
  </si>
  <si>
    <t>Leepa Valley RHC Support</t>
  </si>
  <si>
    <t>CDRS Estimated One Month Budget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</si>
</sst>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_);[Red]\(&quot;$&quot;#,##0.0\)"/>
    <numFmt numFmtId="173" formatCode="&quot;$&quot;#,##0.00"/>
    <numFmt numFmtId="174" formatCode="_(* #,##0.000_);_(* \(#,##0.000\);_(* &quot;-&quot;??_);_(@_)"/>
    <numFmt numFmtId="175" formatCode="&quot;$&quot;#,##0.0"/>
    <numFmt numFmtId="176" formatCode="&quot;$&quot;#,##0"/>
    <numFmt numFmtId="177" formatCode="0.0"/>
    <numFmt numFmtId="178" formatCode="0.000"/>
    <numFmt numFmtId="179" formatCode="[$-409]d\-mmm\-yyyy;@"/>
    <numFmt numFmtId="180" formatCode="[$-409]mmmm\-yy;@"/>
    <numFmt numFmtId="181" formatCode="_(* #,##0_);_(* \(#,##0\);_(* &quot;-&quot;?_);_(@_)"/>
    <numFmt numFmtId="182" formatCode="&quot;$&quot;#,##0.000_);[Red]\(&quot;$&quot;#,##0.000\)"/>
    <numFmt numFmtId="183" formatCode="&quot;$&quot;#,##0.0000_);[Red]\(&quot;$&quot;#,##0.0000\)"/>
    <numFmt numFmtId="184" formatCode="#,##0.0_);[Red]\(#,##0.0\)"/>
    <numFmt numFmtId="185" formatCode="0.000000"/>
    <numFmt numFmtId="186" formatCode="0.00000"/>
    <numFmt numFmtId="187" formatCode="0.0000"/>
    <numFmt numFmtId="188" formatCode="#,##0.000_);[Red]\(#,##0.000\)"/>
    <numFmt numFmtId="189" formatCode="#,##0.0"/>
    <numFmt numFmtId="190" formatCode="0.0000000"/>
    <numFmt numFmtId="191" formatCode="0.00000000"/>
    <numFmt numFmtId="192" formatCode="0.000000000"/>
    <numFmt numFmtId="193" formatCode="#,##0.0_);\(#,##0.0\)"/>
    <numFmt numFmtId="194" formatCode="_(* #,##0.0000_);_(* \(#,##0.0000\);_(* &quot;-&quot;??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#,##0.0000000000"/>
    <numFmt numFmtId="198" formatCode="#,##0.000000000"/>
    <numFmt numFmtId="199" formatCode="#,##0.00000000"/>
    <numFmt numFmtId="200" formatCode="#,##0.0000000"/>
    <numFmt numFmtId="201" formatCode="#,##0.000000"/>
    <numFmt numFmtId="202" formatCode="#,##0.00000"/>
    <numFmt numFmtId="203" formatCode="#,##0.0000"/>
    <numFmt numFmtId="204" formatCode="#,##0.000"/>
    <numFmt numFmtId="205" formatCode="_(* #,##0.0_);_(* \(#,##0.0\);_(* &quot;-&quot;?_);_(@_)"/>
    <numFmt numFmtId="206" formatCode="_(* #,##0.00_);_(* \(#,##0.00\);_(* &quot;-&quot;?_);_(@_)"/>
    <numFmt numFmtId="207" formatCode="_(&quot;$&quot;* #,##0.000_);_(&quot;$&quot;* \(#,##0.000\);_(&quot;$&quot;* &quot;-&quot;??_);_(@_)"/>
    <numFmt numFmtId="208" formatCode="[$$-409]#,##0.00_);[Red]\([$$-409]#,##0.00\)"/>
    <numFmt numFmtId="209" formatCode="[$$-409]#,##0.00"/>
    <numFmt numFmtId="210" formatCode="#,##0.00;\-#,##0.00"/>
    <numFmt numFmtId="211" formatCode="[$$-409]#,##0_);[Red]\([$$-409]#,##0\)"/>
    <numFmt numFmtId="212" formatCode="[$$-409]#,##0"/>
    <numFmt numFmtId="213" formatCode="_(\$* #,##0.00_);_(\$* \(#,##0.00\);_(\$* \-??_);_(@_)"/>
    <numFmt numFmtId="214" formatCode="_(* #,##0.00_);_(* \(#,##0.00\);_(* \-??_);_(@_)"/>
    <numFmt numFmtId="215" formatCode="_(* #,##0_);_(* \(#,##0\);_(* \-??_);_(@_)"/>
    <numFmt numFmtId="216" formatCode="_(* #,##0.00000_);_(* \(#,##0.00000\);_(* &quot;-&quot;??_);_(@_)"/>
    <numFmt numFmtId="217" formatCode="_(* #,##0.000000_);_(* \(#,##0.00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63"/>
      </left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medium"/>
      <top>
        <color indexed="11"/>
      </top>
      <bottom>
        <color indexed="1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8" fontId="1" fillId="33" borderId="11" xfId="0" applyNumberFormat="1" applyFont="1" applyFill="1" applyBorder="1" applyAlignment="1">
      <alignment horizontal="right" wrapText="1"/>
    </xf>
    <xf numFmtId="164" fontId="1" fillId="33" borderId="11" xfId="42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2" fontId="1" fillId="33" borderId="12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 wrapText="1"/>
    </xf>
    <xf numFmtId="164" fontId="1" fillId="33" borderId="11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wrapText="1"/>
    </xf>
    <xf numFmtId="3" fontId="1" fillId="33" borderId="16" xfId="0" applyNumberFormat="1" applyFont="1" applyFill="1" applyBorder="1" applyAlignment="1">
      <alignment horizontal="right" wrapText="1"/>
    </xf>
    <xf numFmtId="164" fontId="1" fillId="33" borderId="16" xfId="42" applyNumberFormat="1" applyFont="1" applyFill="1" applyBorder="1" applyAlignment="1">
      <alignment horizontal="right" wrapText="1"/>
    </xf>
    <xf numFmtId="0" fontId="1" fillId="33" borderId="16" xfId="0" applyFont="1" applyFill="1" applyBorder="1" applyAlignment="1">
      <alignment horizontal="right" wrapText="1"/>
    </xf>
    <xf numFmtId="3" fontId="3" fillId="33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34" borderId="11" xfId="0" applyNumberFormat="1" applyFont="1" applyFill="1" applyBorder="1" applyAlignment="1">
      <alignment wrapText="1"/>
    </xf>
    <xf numFmtId="3" fontId="3" fillId="34" borderId="11" xfId="0" applyNumberFormat="1" applyFont="1" applyFill="1" applyBorder="1" applyAlignment="1">
      <alignment horizontal="right" wrapText="1"/>
    </xf>
    <xf numFmtId="8" fontId="3" fillId="34" borderId="11" xfId="0" applyNumberFormat="1" applyFont="1" applyFill="1" applyBorder="1" applyAlignment="1">
      <alignment wrapText="1"/>
    </xf>
    <xf numFmtId="164" fontId="3" fillId="34" borderId="11" xfId="0" applyNumberFormat="1" applyFont="1" applyFill="1" applyBorder="1" applyAlignment="1">
      <alignment wrapText="1"/>
    </xf>
    <xf numFmtId="164" fontId="3" fillId="0" borderId="16" xfId="0" applyNumberFormat="1" applyFont="1" applyBorder="1" applyAlignment="1">
      <alignment vertical="center"/>
    </xf>
    <xf numFmtId="0" fontId="1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" fillId="33" borderId="16" xfId="0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44" fontId="1" fillId="33" borderId="16" xfId="44" applyFont="1" applyFill="1" applyBorder="1" applyAlignment="1">
      <alignment horizontal="right" wrapText="1"/>
    </xf>
    <xf numFmtId="0" fontId="1" fillId="35" borderId="12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5" borderId="16" xfId="0" applyFont="1" applyFill="1" applyBorder="1" applyAlignment="1">
      <alignment horizontal="right" wrapText="1"/>
    </xf>
    <xf numFmtId="3" fontId="1" fillId="35" borderId="16" xfId="0" applyNumberFormat="1" applyFont="1" applyFill="1" applyBorder="1" applyAlignment="1">
      <alignment horizontal="right" wrapText="1"/>
    </xf>
    <xf numFmtId="3" fontId="3" fillId="35" borderId="16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wrapText="1"/>
    </xf>
    <xf numFmtId="0" fontId="1" fillId="35" borderId="16" xfId="0" applyFont="1" applyFill="1" applyBorder="1" applyAlignment="1">
      <alignment horizontal="right" wrapText="1"/>
    </xf>
    <xf numFmtId="44" fontId="1" fillId="33" borderId="0" xfId="44" applyFont="1" applyFill="1" applyBorder="1" applyAlignment="1">
      <alignment wrapText="1"/>
    </xf>
    <xf numFmtId="44" fontId="3" fillId="33" borderId="0" xfId="44" applyFont="1" applyFill="1" applyBorder="1" applyAlignment="1">
      <alignment wrapText="1"/>
    </xf>
    <xf numFmtId="0" fontId="3" fillId="33" borderId="14" xfId="0" applyFont="1" applyFill="1" applyBorder="1" applyAlignment="1">
      <alignment horizontal="right" wrapText="1"/>
    </xf>
    <xf numFmtId="44" fontId="3" fillId="33" borderId="14" xfId="44" applyFont="1" applyFill="1" applyBorder="1" applyAlignment="1">
      <alignment horizontal="center" wrapText="1"/>
    </xf>
    <xf numFmtId="44" fontId="1" fillId="33" borderId="11" xfId="44" applyFont="1" applyFill="1" applyBorder="1" applyAlignment="1">
      <alignment wrapText="1"/>
    </xf>
    <xf numFmtId="38" fontId="1" fillId="33" borderId="11" xfId="0" applyNumberFormat="1" applyFont="1" applyFill="1" applyBorder="1" applyAlignment="1">
      <alignment horizontal="right" wrapText="1"/>
    </xf>
    <xf numFmtId="44" fontId="1" fillId="33" borderId="11" xfId="44" applyFont="1" applyFill="1" applyBorder="1" applyAlignment="1">
      <alignment horizontal="right" wrapText="1"/>
    </xf>
    <xf numFmtId="164" fontId="1" fillId="33" borderId="11" xfId="42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164" fontId="3" fillId="33" borderId="11" xfId="42" applyNumberFormat="1" applyFont="1" applyFill="1" applyBorder="1" applyAlignment="1">
      <alignment wrapText="1"/>
    </xf>
    <xf numFmtId="44" fontId="3" fillId="33" borderId="11" xfId="44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left" wrapText="1"/>
    </xf>
    <xf numFmtId="44" fontId="1" fillId="35" borderId="11" xfId="44" applyFont="1" applyFill="1" applyBorder="1" applyAlignment="1">
      <alignment horizontal="right" wrapText="1"/>
    </xf>
    <xf numFmtId="164" fontId="3" fillId="35" borderId="11" xfId="42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43" fontId="1" fillId="33" borderId="11" xfId="42" applyFont="1" applyFill="1" applyBorder="1" applyAlignment="1">
      <alignment horizontal="left" wrapText="1"/>
    </xf>
    <xf numFmtId="164" fontId="1" fillId="33" borderId="11" xfId="42" applyNumberFormat="1" applyFont="1" applyFill="1" applyBorder="1" applyAlignment="1">
      <alignment horizontal="left" wrapText="1"/>
    </xf>
    <xf numFmtId="44" fontId="3" fillId="35" borderId="11" xfId="44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right" wrapText="1"/>
    </xf>
    <xf numFmtId="1" fontId="1" fillId="35" borderId="11" xfId="0" applyNumberFormat="1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43" fontId="1" fillId="33" borderId="11" xfId="42" applyNumberFormat="1" applyFont="1" applyFill="1" applyBorder="1" applyAlignment="1">
      <alignment horizontal="left" wrapText="1"/>
    </xf>
    <xf numFmtId="43" fontId="1" fillId="35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44" fontId="1" fillId="0" borderId="0" xfId="44" applyFont="1" applyAlignment="1">
      <alignment/>
    </xf>
    <xf numFmtId="0" fontId="0" fillId="0" borderId="0" xfId="0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wrapText="1"/>
    </xf>
    <xf numFmtId="0" fontId="3" fillId="36" borderId="19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196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wrapText="1"/>
    </xf>
    <xf numFmtId="164" fontId="3" fillId="33" borderId="16" xfId="0" applyNumberFormat="1" applyFont="1" applyFill="1" applyBorder="1" applyAlignment="1">
      <alignment horizontal="right" wrapText="1"/>
    </xf>
    <xf numFmtId="164" fontId="3" fillId="35" borderId="16" xfId="0" applyNumberFormat="1" applyFont="1" applyFill="1" applyBorder="1" applyAlignment="1">
      <alignment horizontal="right" wrapText="1"/>
    </xf>
    <xf numFmtId="164" fontId="3" fillId="33" borderId="16" xfId="42" applyNumberFormat="1" applyFont="1" applyFill="1" applyBorder="1" applyAlignment="1">
      <alignment horizontal="right" wrapText="1"/>
    </xf>
    <xf numFmtId="44" fontId="3" fillId="33" borderId="16" xfId="0" applyNumberFormat="1" applyFont="1" applyFill="1" applyBorder="1" applyAlignment="1">
      <alignment horizontal="right" wrapText="1"/>
    </xf>
    <xf numFmtId="3" fontId="5" fillId="33" borderId="16" xfId="0" applyNumberFormat="1" applyFont="1" applyFill="1" applyBorder="1" applyAlignment="1">
      <alignment horizontal="right" wrapText="1"/>
    </xf>
    <xf numFmtId="44" fontId="3" fillId="33" borderId="16" xfId="44" applyNumberFormat="1" applyFont="1" applyFill="1" applyBorder="1" applyAlignment="1">
      <alignment horizontal="right" wrapText="1"/>
    </xf>
    <xf numFmtId="44" fontId="3" fillId="35" borderId="16" xfId="0" applyNumberFormat="1" applyFont="1" applyFill="1" applyBorder="1" applyAlignment="1">
      <alignment horizontal="right" wrapText="1"/>
    </xf>
    <xf numFmtId="44" fontId="3" fillId="35" borderId="16" xfId="44" applyNumberFormat="1" applyFont="1" applyFill="1" applyBorder="1" applyAlignment="1">
      <alignment horizontal="right" wrapText="1"/>
    </xf>
    <xf numFmtId="3" fontId="9" fillId="33" borderId="16" xfId="0" applyNumberFormat="1" applyFont="1" applyFill="1" applyBorder="1" applyAlignment="1">
      <alignment horizontal="right" wrapText="1"/>
    </xf>
    <xf numFmtId="44" fontId="9" fillId="33" borderId="16" xfId="0" applyNumberFormat="1" applyFont="1" applyFill="1" applyBorder="1" applyAlignment="1">
      <alignment horizontal="right" wrapText="1"/>
    </xf>
    <xf numFmtId="189" fontId="9" fillId="0" borderId="16" xfId="0" applyNumberFormat="1" applyFont="1" applyBorder="1" applyAlignment="1">
      <alignment/>
    </xf>
    <xf numFmtId="44" fontId="3" fillId="35" borderId="11" xfId="44" applyNumberFormat="1" applyFont="1" applyFill="1" applyBorder="1" applyAlignment="1">
      <alignment horizontal="right" wrapText="1"/>
    </xf>
    <xf numFmtId="44" fontId="3" fillId="33" borderId="11" xfId="44" applyNumberFormat="1" applyFont="1" applyFill="1" applyBorder="1" applyAlignment="1">
      <alignment horizontal="right" wrapText="1"/>
    </xf>
    <xf numFmtId="164" fontId="0" fillId="0" borderId="0" xfId="0" applyNumberFormat="1" applyFont="1" applyAlignment="1">
      <alignment/>
    </xf>
    <xf numFmtId="164" fontId="1" fillId="33" borderId="0" xfId="42" applyNumberFormat="1" applyFont="1" applyFill="1" applyBorder="1" applyAlignment="1">
      <alignment horizontal="right" wrapText="1"/>
    </xf>
    <xf numFmtId="164" fontId="3" fillId="33" borderId="16" xfId="42" applyNumberFormat="1" applyFont="1" applyFill="1" applyBorder="1" applyAlignment="1">
      <alignment horizontal="center" wrapText="1"/>
    </xf>
    <xf numFmtId="164" fontId="3" fillId="35" borderId="16" xfId="42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4" fontId="1" fillId="0" borderId="0" xfId="44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8" fontId="3" fillId="33" borderId="11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 wrapText="1"/>
    </xf>
    <xf numFmtId="8" fontId="3" fillId="34" borderId="11" xfId="0" applyNumberFormat="1" applyFont="1" applyFill="1" applyBorder="1" applyAlignment="1">
      <alignment horizontal="right" wrapText="1"/>
    </xf>
    <xf numFmtId="164" fontId="3" fillId="34" borderId="11" xfId="0" applyNumberFormat="1" applyFont="1" applyFill="1" applyBorder="1" applyAlignment="1">
      <alignment horizontal="right" wrapText="1"/>
    </xf>
    <xf numFmtId="44" fontId="1" fillId="33" borderId="21" xfId="44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36" borderId="0" xfId="0" applyFont="1" applyFill="1" applyBorder="1" applyAlignment="1">
      <alignment wrapText="1"/>
    </xf>
    <xf numFmtId="213" fontId="1" fillId="36" borderId="0" xfId="44" applyNumberFormat="1" applyFont="1" applyFill="1" applyBorder="1" applyAlignment="1" applyProtection="1">
      <alignment wrapText="1"/>
      <protection/>
    </xf>
    <xf numFmtId="213" fontId="3" fillId="36" borderId="0" xfId="44" applyNumberFormat="1" applyFont="1" applyFill="1" applyBorder="1" applyAlignment="1" applyProtection="1">
      <alignment wrapText="1"/>
      <protection/>
    </xf>
    <xf numFmtId="0" fontId="0" fillId="36" borderId="22" xfId="0" applyFont="1" applyFill="1" applyBorder="1" applyAlignment="1">
      <alignment wrapText="1"/>
    </xf>
    <xf numFmtId="0" fontId="3" fillId="36" borderId="22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wrapText="1"/>
    </xf>
    <xf numFmtId="213" fontId="3" fillId="36" borderId="20" xfId="44" applyNumberFormat="1" applyFont="1" applyFill="1" applyBorder="1" applyAlignment="1" applyProtection="1">
      <alignment horizontal="center" wrapText="1"/>
      <protection/>
    </xf>
    <xf numFmtId="0" fontId="3" fillId="36" borderId="22" xfId="0" applyFont="1" applyFill="1" applyBorder="1" applyAlignment="1">
      <alignment wrapText="1"/>
    </xf>
    <xf numFmtId="0" fontId="0" fillId="36" borderId="20" xfId="0" applyFont="1" applyFill="1" applyBorder="1" applyAlignment="1">
      <alignment wrapText="1"/>
    </xf>
    <xf numFmtId="213" fontId="1" fillId="36" borderId="20" xfId="44" applyNumberFormat="1" applyFont="1" applyFill="1" applyBorder="1" applyAlignment="1" applyProtection="1">
      <alignment wrapText="1"/>
      <protection/>
    </xf>
    <xf numFmtId="0" fontId="0" fillId="36" borderId="19" xfId="0" applyFont="1" applyFill="1" applyBorder="1" applyAlignment="1">
      <alignment horizontal="center" wrapText="1"/>
    </xf>
    <xf numFmtId="213" fontId="1" fillId="36" borderId="22" xfId="44" applyNumberFormat="1" applyFont="1" applyFill="1" applyBorder="1" applyAlignment="1" applyProtection="1">
      <alignment wrapText="1"/>
      <protection/>
    </xf>
    <xf numFmtId="2" fontId="0" fillId="36" borderId="19" xfId="0" applyNumberFormat="1" applyFont="1" applyFill="1" applyBorder="1" applyAlignment="1">
      <alignment horizontal="center" wrapText="1"/>
    </xf>
    <xf numFmtId="0" fontId="0" fillId="36" borderId="22" xfId="0" applyFill="1" applyBorder="1" applyAlignment="1">
      <alignment wrapText="1"/>
    </xf>
    <xf numFmtId="38" fontId="0" fillId="36" borderId="22" xfId="0" applyNumberFormat="1" applyFont="1" applyFill="1" applyBorder="1" applyAlignment="1">
      <alignment horizontal="right" wrapText="1"/>
    </xf>
    <xf numFmtId="213" fontId="1" fillId="36" borderId="22" xfId="44" applyNumberFormat="1" applyFont="1" applyFill="1" applyBorder="1" applyAlignment="1" applyProtection="1">
      <alignment horizontal="right" wrapText="1"/>
      <protection/>
    </xf>
    <xf numFmtId="215" fontId="1" fillId="36" borderId="22" xfId="42" applyNumberFormat="1" applyFont="1" applyFill="1" applyBorder="1" applyAlignment="1" applyProtection="1">
      <alignment wrapText="1"/>
      <protection/>
    </xf>
    <xf numFmtId="213" fontId="1" fillId="36" borderId="22" xfId="44" applyNumberFormat="1" applyFont="1" applyFill="1" applyBorder="1" applyAlignment="1" applyProtection="1">
      <alignment horizontal="right" wrapText="1"/>
      <protection/>
    </xf>
    <xf numFmtId="215" fontId="1" fillId="36" borderId="22" xfId="42" applyNumberFormat="1" applyFont="1" applyFill="1" applyBorder="1" applyAlignment="1" applyProtection="1">
      <alignment wrapText="1"/>
      <protection/>
    </xf>
    <xf numFmtId="2" fontId="0" fillId="36" borderId="20" xfId="0" applyNumberFormat="1" applyFont="1" applyFill="1" applyBorder="1" applyAlignment="1">
      <alignment horizontal="center" wrapText="1"/>
    </xf>
    <xf numFmtId="38" fontId="0" fillId="36" borderId="20" xfId="0" applyNumberFormat="1" applyFont="1" applyFill="1" applyBorder="1" applyAlignment="1">
      <alignment horizontal="right" wrapText="1"/>
    </xf>
    <xf numFmtId="0" fontId="3" fillId="36" borderId="22" xfId="0" applyFont="1" applyFill="1" applyBorder="1" applyAlignment="1">
      <alignment horizontal="left" wrapText="1"/>
    </xf>
    <xf numFmtId="215" fontId="3" fillId="36" borderId="22" xfId="42" applyNumberFormat="1" applyFont="1" applyFill="1" applyBorder="1" applyAlignment="1" applyProtection="1">
      <alignment wrapText="1"/>
      <protection/>
    </xf>
    <xf numFmtId="213" fontId="3" fillId="36" borderId="22" xfId="44" applyNumberFormat="1" applyFont="1" applyFill="1" applyBorder="1" applyAlignment="1" applyProtection="1">
      <alignment horizontal="right" wrapText="1"/>
      <protection/>
    </xf>
    <xf numFmtId="0" fontId="0" fillId="37" borderId="19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left" wrapText="1"/>
    </xf>
    <xf numFmtId="213" fontId="1" fillId="37" borderId="22" xfId="44" applyNumberFormat="1" applyFont="1" applyFill="1" applyBorder="1" applyAlignment="1" applyProtection="1">
      <alignment horizontal="right" wrapText="1"/>
      <protection/>
    </xf>
    <xf numFmtId="215" fontId="3" fillId="37" borderId="22" xfId="42" applyNumberFormat="1" applyFont="1" applyFill="1" applyBorder="1" applyAlignment="1" applyProtection="1">
      <alignment wrapText="1"/>
      <protection/>
    </xf>
    <xf numFmtId="213" fontId="3" fillId="37" borderId="22" xfId="44" applyNumberFormat="1" applyFont="1" applyFill="1" applyBorder="1" applyAlignment="1" applyProtection="1">
      <alignment horizontal="right" wrapText="1"/>
      <protection/>
    </xf>
    <xf numFmtId="0" fontId="0" fillId="36" borderId="20" xfId="0" applyFill="1" applyBorder="1" applyAlignment="1">
      <alignment wrapText="1"/>
    </xf>
    <xf numFmtId="215" fontId="1" fillId="36" borderId="22" xfId="42" applyNumberFormat="1" applyFont="1" applyFill="1" applyBorder="1" applyAlignment="1" applyProtection="1">
      <alignment horizontal="left" wrapText="1"/>
      <protection/>
    </xf>
    <xf numFmtId="214" fontId="1" fillId="36" borderId="22" xfId="42" applyNumberFormat="1" applyFont="1" applyFill="1" applyBorder="1" applyAlignment="1" applyProtection="1">
      <alignment horizontal="left" wrapText="1"/>
      <protection/>
    </xf>
    <xf numFmtId="0" fontId="3" fillId="37" borderId="22" xfId="0" applyFont="1" applyFill="1" applyBorder="1" applyAlignment="1">
      <alignment wrapText="1"/>
    </xf>
    <xf numFmtId="0" fontId="0" fillId="37" borderId="22" xfId="0" applyFont="1" applyFill="1" applyBorder="1" applyAlignment="1">
      <alignment wrapText="1"/>
    </xf>
    <xf numFmtId="1" fontId="0" fillId="37" borderId="22" xfId="0" applyNumberFormat="1" applyFont="1" applyFill="1" applyBorder="1" applyAlignment="1">
      <alignment wrapText="1"/>
    </xf>
    <xf numFmtId="0" fontId="0" fillId="37" borderId="22" xfId="0" applyFont="1" applyFill="1" applyBorder="1" applyAlignment="1">
      <alignment horizontal="right" wrapText="1"/>
    </xf>
    <xf numFmtId="214" fontId="0" fillId="37" borderId="22" xfId="0" applyNumberFormat="1" applyFont="1" applyFill="1" applyBorder="1" applyAlignment="1">
      <alignment horizontal="right" wrapText="1"/>
    </xf>
    <xf numFmtId="214" fontId="3" fillId="36" borderId="22" xfId="42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213" fontId="1" fillId="0" borderId="0" xfId="44" applyNumberFormat="1" applyFont="1" applyFill="1" applyBorder="1" applyAlignment="1" applyProtection="1">
      <alignment/>
      <protection/>
    </xf>
    <xf numFmtId="215" fontId="0" fillId="0" borderId="0" xfId="0" applyNumberFormat="1" applyFont="1" applyAlignment="1">
      <alignment/>
    </xf>
    <xf numFmtId="213" fontId="1" fillId="36" borderId="23" xfId="44" applyNumberFormat="1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wrapText="1"/>
    </xf>
    <xf numFmtId="2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215" fontId="1" fillId="0" borderId="22" xfId="42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8" fontId="3" fillId="33" borderId="11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3" fontId="0" fillId="0" borderId="16" xfId="0" applyNumberForma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3" fontId="47" fillId="0" borderId="16" xfId="0" applyNumberFormat="1" applyFont="1" applyBorder="1" applyAlignment="1">
      <alignment/>
    </xf>
    <xf numFmtId="164" fontId="48" fillId="0" borderId="0" xfId="42" applyNumberFormat="1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0" fontId="3" fillId="33" borderId="2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35" borderId="17" xfId="0" applyFont="1" applyFill="1" applyBorder="1" applyAlignment="1">
      <alignment horizontal="left" wrapText="1"/>
    </xf>
    <xf numFmtId="0" fontId="3" fillId="35" borderId="24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wrapText="1"/>
    </xf>
    <xf numFmtId="0" fontId="3" fillId="37" borderId="30" xfId="0" applyFont="1" applyFill="1" applyBorder="1" applyAlignment="1">
      <alignment horizontal="left" wrapText="1"/>
    </xf>
    <xf numFmtId="0" fontId="3" fillId="36" borderId="20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left" wrapText="1"/>
    </xf>
    <xf numFmtId="0" fontId="3" fillId="36" borderId="31" xfId="0" applyFont="1" applyFill="1" applyBorder="1" applyAlignment="1">
      <alignment wrapText="1"/>
    </xf>
    <xf numFmtId="0" fontId="3" fillId="36" borderId="32" xfId="0" applyFont="1" applyFill="1" applyBorder="1" applyAlignment="1">
      <alignment wrapText="1"/>
    </xf>
    <xf numFmtId="0" fontId="3" fillId="36" borderId="0" xfId="0" applyFont="1" applyFill="1" applyBorder="1" applyAlignment="1">
      <alignment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47" fillId="0" borderId="16" xfId="42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5" fillId="0" borderId="28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5" fillId="0" borderId="28" xfId="0" applyFont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3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33" borderId="0" xfId="0" applyFont="1" applyFill="1" applyBorder="1" applyAlignment="1">
      <alignment wrapText="1"/>
    </xf>
    <xf numFmtId="164" fontId="3" fillId="35" borderId="11" xfId="42" applyNumberFormat="1" applyFont="1" applyFill="1" applyBorder="1" applyAlignment="1">
      <alignment wrapText="1"/>
    </xf>
    <xf numFmtId="44" fontId="3" fillId="35" borderId="11" xfId="44" applyFont="1" applyFill="1" applyBorder="1" applyAlignment="1">
      <alignment horizontal="right" wrapText="1"/>
    </xf>
    <xf numFmtId="43" fontId="0" fillId="0" borderId="0" xfId="0" applyNumberFormat="1" applyFont="1" applyAlignment="1">
      <alignment/>
    </xf>
    <xf numFmtId="2" fontId="46" fillId="33" borderId="12" xfId="0" applyNumberFormat="1" applyFont="1" applyFill="1" applyBorder="1" applyAlignment="1">
      <alignment horizontal="center" wrapText="1"/>
    </xf>
    <xf numFmtId="0" fontId="46" fillId="33" borderId="11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46" fillId="33" borderId="11" xfId="0" applyFont="1" applyFill="1" applyBorder="1" applyAlignment="1">
      <alignment horizontal="right" wrapText="1"/>
    </xf>
    <xf numFmtId="8" fontId="46" fillId="33" borderId="11" xfId="0" applyNumberFormat="1" applyFont="1" applyFill="1" applyBorder="1" applyAlignment="1">
      <alignment horizontal="right" wrapText="1"/>
    </xf>
    <xf numFmtId="44" fontId="46" fillId="33" borderId="11" xfId="44" applyFont="1" applyFill="1" applyBorder="1" applyAlignment="1">
      <alignment horizontal="right" wrapText="1"/>
    </xf>
    <xf numFmtId="164" fontId="46" fillId="33" borderId="11" xfId="42" applyNumberFormat="1" applyFont="1" applyFill="1" applyBorder="1" applyAlignment="1">
      <alignment wrapText="1"/>
    </xf>
    <xf numFmtId="43" fontId="46" fillId="33" borderId="11" xfId="42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44" fontId="1" fillId="33" borderId="24" xfId="44" applyFont="1" applyFill="1" applyBorder="1" applyAlignment="1">
      <alignment horizontal="right" wrapText="1"/>
    </xf>
    <xf numFmtId="164" fontId="1" fillId="33" borderId="24" xfId="42" applyNumberFormat="1" applyFont="1" applyFill="1" applyBorder="1" applyAlignment="1">
      <alignment wrapText="1"/>
    </xf>
    <xf numFmtId="44" fontId="1" fillId="33" borderId="27" xfId="44" applyFont="1" applyFill="1" applyBorder="1" applyAlignment="1">
      <alignment horizontal="right" wrapText="1"/>
    </xf>
    <xf numFmtId="0" fontId="1" fillId="33" borderId="24" xfId="0" applyFont="1" applyFill="1" applyBorder="1" applyAlignment="1">
      <alignment horizontal="right" wrapText="1"/>
    </xf>
    <xf numFmtId="44" fontId="1" fillId="33" borderId="24" xfId="44" applyFont="1" applyFill="1" applyBorder="1" applyAlignment="1">
      <alignment wrapText="1"/>
    </xf>
    <xf numFmtId="44" fontId="1" fillId="33" borderId="27" xfId="44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44" fontId="1" fillId="33" borderId="10" xfId="44" applyFont="1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right" wrapText="1"/>
    </xf>
    <xf numFmtId="164" fontId="3" fillId="33" borderId="10" xfId="42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8" fontId="3" fillId="0" borderId="11" xfId="0" applyNumberFormat="1" applyFont="1" applyFill="1" applyBorder="1" applyAlignment="1">
      <alignment wrapText="1"/>
    </xf>
    <xf numFmtId="0" fontId="27" fillId="0" borderId="14" xfId="0" applyFont="1" applyBorder="1" applyAlignment="1">
      <alignment horizontal="center"/>
    </xf>
    <xf numFmtId="0" fontId="27" fillId="33" borderId="11" xfId="0" applyFont="1" applyFill="1" applyBorder="1" applyAlignment="1">
      <alignment wrapText="1"/>
    </xf>
    <xf numFmtId="2" fontId="8" fillId="33" borderId="12" xfId="0" applyNumberFormat="1" applyFont="1" applyFill="1" applyBorder="1" applyAlignment="1">
      <alignment horizont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28" fillId="0" borderId="0" xfId="0" applyNumberFormat="1" applyFont="1" applyAlignment="1">
      <alignment/>
    </xf>
    <xf numFmtId="0" fontId="24" fillId="0" borderId="38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left" vertical="center"/>
    </xf>
    <xf numFmtId="0" fontId="27" fillId="0" borderId="34" xfId="0" applyNumberFormat="1" applyFont="1" applyBorder="1" applyAlignment="1">
      <alignment horizontal="left" vertical="center"/>
    </xf>
    <xf numFmtId="0" fontId="27" fillId="0" borderId="35" xfId="0" applyNumberFormat="1" applyFont="1" applyBorder="1" applyAlignment="1">
      <alignment horizontal="left" vertical="center"/>
    </xf>
    <xf numFmtId="0" fontId="28" fillId="0" borderId="38" xfId="0" applyNumberFormat="1" applyFont="1" applyBorder="1" applyAlignment="1">
      <alignment/>
    </xf>
    <xf numFmtId="0" fontId="24" fillId="39" borderId="29" xfId="0" applyNumberFormat="1" applyFont="1" applyFill="1" applyBorder="1" applyAlignment="1">
      <alignment wrapText="1"/>
    </xf>
    <xf numFmtId="0" fontId="24" fillId="39" borderId="0" xfId="0" applyNumberFormat="1" applyFont="1" applyFill="1" applyBorder="1" applyAlignment="1">
      <alignment wrapText="1"/>
    </xf>
    <xf numFmtId="0" fontId="28" fillId="39" borderId="0" xfId="0" applyNumberFormat="1" applyFont="1" applyFill="1" applyBorder="1" applyAlignment="1">
      <alignment wrapText="1"/>
    </xf>
    <xf numFmtId="0" fontId="28" fillId="39" borderId="0" xfId="0" applyNumberFormat="1" applyFont="1" applyFill="1" applyBorder="1" applyAlignment="1">
      <alignment horizontal="right" wrapText="1"/>
    </xf>
    <xf numFmtId="0" fontId="28" fillId="39" borderId="21" xfId="0" applyNumberFormat="1" applyFont="1" applyFill="1" applyBorder="1" applyAlignment="1">
      <alignment wrapText="1"/>
    </xf>
    <xf numFmtId="0" fontId="28" fillId="39" borderId="0" xfId="0" applyNumberFormat="1" applyFont="1" applyFill="1" applyBorder="1" applyAlignment="1">
      <alignment wrapText="1"/>
    </xf>
    <xf numFmtId="0" fontId="24" fillId="39" borderId="39" xfId="0" applyNumberFormat="1" applyFont="1" applyFill="1" applyBorder="1" applyAlignment="1">
      <alignment horizontal="center" wrapText="1"/>
    </xf>
    <xf numFmtId="0" fontId="24" fillId="33" borderId="33" xfId="0" applyNumberFormat="1" applyFont="1" applyFill="1" applyBorder="1" applyAlignment="1">
      <alignment horizontal="center" wrapText="1"/>
    </xf>
    <xf numFmtId="0" fontId="24" fillId="33" borderId="35" xfId="0" applyNumberFormat="1" applyFont="1" applyFill="1" applyBorder="1" applyAlignment="1">
      <alignment horizontal="center" wrapText="1"/>
    </xf>
    <xf numFmtId="0" fontId="24" fillId="33" borderId="39" xfId="0" applyNumberFormat="1" applyFont="1" applyFill="1" applyBorder="1" applyAlignment="1">
      <alignment horizontal="center" wrapText="1"/>
    </xf>
    <xf numFmtId="0" fontId="24" fillId="39" borderId="39" xfId="0" applyNumberFormat="1" applyFont="1" applyFill="1" applyBorder="1" applyAlignment="1">
      <alignment wrapText="1"/>
    </xf>
    <xf numFmtId="0" fontId="28" fillId="39" borderId="39" xfId="0" applyNumberFormat="1" applyFont="1" applyFill="1" applyBorder="1" applyAlignment="1">
      <alignment wrapText="1"/>
    </xf>
    <xf numFmtId="0" fontId="28" fillId="39" borderId="39" xfId="0" applyNumberFormat="1" applyFont="1" applyFill="1" applyBorder="1" applyAlignment="1">
      <alignment horizontal="right" wrapText="1"/>
    </xf>
    <xf numFmtId="0" fontId="28" fillId="33" borderId="39" xfId="0" applyNumberFormat="1" applyFont="1" applyFill="1" applyBorder="1" applyAlignment="1">
      <alignment wrapText="1"/>
    </xf>
    <xf numFmtId="2" fontId="28" fillId="39" borderId="39" xfId="0" applyNumberFormat="1" applyFont="1" applyFill="1" applyBorder="1" applyAlignment="1">
      <alignment horizontal="center" wrapText="1"/>
    </xf>
    <xf numFmtId="0" fontId="28" fillId="39" borderId="39" xfId="0" applyNumberFormat="1" applyFont="1" applyFill="1" applyBorder="1" applyAlignment="1">
      <alignment horizontal="center" wrapText="1"/>
    </xf>
    <xf numFmtId="0" fontId="8" fillId="39" borderId="39" xfId="0" applyNumberFormat="1" applyFont="1" applyFill="1" applyBorder="1" applyAlignment="1">
      <alignment wrapText="1"/>
    </xf>
    <xf numFmtId="3" fontId="8" fillId="39" borderId="39" xfId="0" applyNumberFormat="1" applyFont="1" applyFill="1" applyBorder="1" applyAlignment="1">
      <alignment horizontal="right" wrapText="1"/>
    </xf>
    <xf numFmtId="208" fontId="28" fillId="39" borderId="39" xfId="0" applyNumberFormat="1" applyFont="1" applyFill="1" applyBorder="1" applyAlignment="1">
      <alignment horizontal="right" wrapText="1"/>
    </xf>
    <xf numFmtId="3" fontId="8" fillId="33" borderId="39" xfId="0" applyNumberFormat="1" applyFont="1" applyFill="1" applyBorder="1" applyAlignment="1">
      <alignment horizontal="right" wrapText="1"/>
    </xf>
    <xf numFmtId="208" fontId="28" fillId="33" borderId="39" xfId="0" applyNumberFormat="1" applyFont="1" applyFill="1" applyBorder="1" applyAlignment="1">
      <alignment horizontal="right" wrapText="1"/>
    </xf>
    <xf numFmtId="37" fontId="8" fillId="39" borderId="39" xfId="0" applyNumberFormat="1" applyFont="1" applyFill="1" applyBorder="1" applyAlignment="1">
      <alignment horizontal="right" wrapText="1"/>
    </xf>
    <xf numFmtId="37" fontId="8" fillId="33" borderId="39" xfId="0" applyNumberFormat="1" applyFont="1" applyFill="1" applyBorder="1" applyAlignment="1">
      <alignment horizontal="right" wrapText="1"/>
    </xf>
    <xf numFmtId="0" fontId="8" fillId="33" borderId="39" xfId="0" applyNumberFormat="1" applyFont="1" applyFill="1" applyBorder="1" applyAlignment="1">
      <alignment wrapText="1"/>
    </xf>
    <xf numFmtId="0" fontId="28" fillId="33" borderId="39" xfId="0" applyNumberFormat="1" applyFont="1" applyFill="1" applyBorder="1" applyAlignment="1">
      <alignment horizontal="center" wrapText="1"/>
    </xf>
    <xf numFmtId="37" fontId="3" fillId="33" borderId="39" xfId="0" applyNumberFormat="1" applyFont="1" applyFill="1" applyBorder="1" applyAlignment="1">
      <alignment horizontal="right" wrapText="1"/>
    </xf>
    <xf numFmtId="208" fontId="24" fillId="33" borderId="39" xfId="0" applyNumberFormat="1" applyFont="1" applyFill="1" applyBorder="1" applyAlignment="1">
      <alignment horizontal="right" wrapText="1"/>
    </xf>
    <xf numFmtId="0" fontId="28" fillId="33" borderId="39" xfId="0" applyNumberFormat="1" applyFont="1" applyFill="1" applyBorder="1" applyAlignment="1">
      <alignment horizontal="right" wrapText="1"/>
    </xf>
    <xf numFmtId="3" fontId="3" fillId="33" borderId="39" xfId="0" applyNumberFormat="1" applyFont="1" applyFill="1" applyBorder="1" applyAlignment="1">
      <alignment horizontal="right" wrapText="1"/>
    </xf>
    <xf numFmtId="0" fontId="28" fillId="40" borderId="39" xfId="0" applyNumberFormat="1" applyFont="1" applyFill="1" applyBorder="1" applyAlignment="1">
      <alignment horizontal="center" wrapText="1"/>
    </xf>
    <xf numFmtId="0" fontId="24" fillId="40" borderId="39" xfId="0" applyNumberFormat="1" applyFont="1" applyFill="1" applyBorder="1" applyAlignment="1">
      <alignment wrapText="1"/>
    </xf>
    <xf numFmtId="0" fontId="24" fillId="40" borderId="39" xfId="0" applyNumberFormat="1" applyFont="1" applyFill="1" applyBorder="1" applyAlignment="1">
      <alignment horizontal="right" wrapText="1"/>
    </xf>
    <xf numFmtId="0" fontId="29" fillId="39" borderId="39" xfId="0" applyNumberFormat="1" applyFont="1" applyFill="1" applyBorder="1" applyAlignment="1">
      <alignment horizontal="right"/>
    </xf>
    <xf numFmtId="3" fontId="28" fillId="39" borderId="39" xfId="0" applyNumberFormat="1" applyFont="1" applyFill="1" applyBorder="1" applyAlignment="1">
      <alignment horizontal="right" wrapText="1"/>
    </xf>
    <xf numFmtId="164" fontId="28" fillId="33" borderId="39" xfId="42" applyNumberFormat="1" applyFont="1" applyFill="1" applyBorder="1" applyAlignment="1">
      <alignment horizontal="right" wrapText="1"/>
    </xf>
    <xf numFmtId="3" fontId="28" fillId="33" borderId="39" xfId="0" applyNumberFormat="1" applyFont="1" applyFill="1" applyBorder="1" applyAlignment="1">
      <alignment horizontal="right" wrapText="1"/>
    </xf>
    <xf numFmtId="209" fontId="28" fillId="39" borderId="39" xfId="0" applyNumberFormat="1" applyFont="1" applyFill="1" applyBorder="1" applyAlignment="1">
      <alignment horizontal="right" wrapText="1"/>
    </xf>
    <xf numFmtId="209" fontId="28" fillId="33" borderId="39" xfId="0" applyNumberFormat="1" applyFont="1" applyFill="1" applyBorder="1" applyAlignment="1">
      <alignment horizontal="right" wrapText="1"/>
    </xf>
    <xf numFmtId="0" fontId="28" fillId="40" borderId="39" xfId="0" applyNumberFormat="1" applyFont="1" applyFill="1" applyBorder="1" applyAlignment="1">
      <alignment wrapText="1"/>
    </xf>
    <xf numFmtId="0" fontId="28" fillId="40" borderId="39" xfId="0" applyNumberFormat="1" applyFont="1" applyFill="1" applyBorder="1" applyAlignment="1">
      <alignment horizontal="right" wrapText="1"/>
    </xf>
    <xf numFmtId="2" fontId="28" fillId="33" borderId="39" xfId="0" applyNumberFormat="1" applyFont="1" applyFill="1" applyBorder="1" applyAlignment="1">
      <alignment horizontal="center" wrapText="1"/>
    </xf>
    <xf numFmtId="3" fontId="28" fillId="0" borderId="0" xfId="0" applyNumberFormat="1" applyFont="1" applyAlignment="1">
      <alignment/>
    </xf>
    <xf numFmtId="4" fontId="24" fillId="33" borderId="39" xfId="0" applyNumberFormat="1" applyFont="1" applyFill="1" applyBorder="1" applyAlignment="1">
      <alignment horizontal="center" wrapText="1"/>
    </xf>
    <xf numFmtId="209" fontId="24" fillId="33" borderId="39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36" borderId="43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left" wrapText="1"/>
    </xf>
    <xf numFmtId="0" fontId="0" fillId="36" borderId="30" xfId="0" applyFont="1" applyFill="1" applyBorder="1" applyAlignment="1">
      <alignment wrapText="1"/>
    </xf>
    <xf numFmtId="0" fontId="0" fillId="36" borderId="45" xfId="0" applyFont="1" applyFill="1" applyBorder="1" applyAlignment="1">
      <alignment wrapText="1"/>
    </xf>
    <xf numFmtId="213" fontId="1" fillId="36" borderId="45" xfId="44" applyNumberFormat="1" applyFont="1" applyFill="1" applyBorder="1" applyAlignment="1" applyProtection="1">
      <alignment wrapText="1"/>
      <protection/>
    </xf>
    <xf numFmtId="0" fontId="0" fillId="36" borderId="43" xfId="0" applyFont="1" applyFill="1" applyBorder="1" applyAlignment="1">
      <alignment wrapText="1"/>
    </xf>
    <xf numFmtId="0" fontId="0" fillId="36" borderId="46" xfId="0" applyFont="1" applyFill="1" applyBorder="1" applyAlignment="1">
      <alignment wrapText="1"/>
    </xf>
    <xf numFmtId="0" fontId="0" fillId="36" borderId="44" xfId="0" applyFont="1" applyFill="1" applyBorder="1" applyAlignment="1">
      <alignment wrapText="1"/>
    </xf>
    <xf numFmtId="213" fontId="1" fillId="36" borderId="44" xfId="44" applyNumberFormat="1" applyFont="1" applyFill="1" applyBorder="1" applyAlignment="1" applyProtection="1">
      <alignment wrapText="1"/>
      <protection/>
    </xf>
    <xf numFmtId="0" fontId="3" fillId="36" borderId="44" xfId="0" applyFont="1" applyFill="1" applyBorder="1" applyAlignment="1">
      <alignment horizontal="center" wrapText="1"/>
    </xf>
    <xf numFmtId="215" fontId="3" fillId="36" borderId="45" xfId="42" applyNumberFormat="1" applyFont="1" applyFill="1" applyBorder="1" applyAlignment="1" applyProtection="1">
      <alignment wrapText="1"/>
      <protection/>
    </xf>
    <xf numFmtId="213" fontId="3" fillId="36" borderId="43" xfId="44" applyNumberFormat="1" applyFont="1" applyFill="1" applyBorder="1" applyAlignment="1" applyProtection="1">
      <alignment horizontal="right" wrapText="1"/>
      <protection/>
    </xf>
    <xf numFmtId="215" fontId="1" fillId="36" borderId="44" xfId="42" applyNumberFormat="1" applyFont="1" applyFill="1" applyBorder="1" applyAlignment="1" applyProtection="1">
      <alignment wrapText="1"/>
      <protection/>
    </xf>
    <xf numFmtId="0" fontId="3" fillId="36" borderId="45" xfId="0" applyFont="1" applyFill="1" applyBorder="1" applyAlignment="1">
      <alignment horizontal="left" wrapText="1"/>
    </xf>
    <xf numFmtId="213" fontId="1" fillId="36" borderId="45" xfId="44" applyNumberFormat="1" applyFont="1" applyFill="1" applyBorder="1" applyAlignment="1" applyProtection="1">
      <alignment horizontal="right" wrapText="1"/>
      <protection/>
    </xf>
    <xf numFmtId="0" fontId="0" fillId="36" borderId="45" xfId="0" applyFont="1" applyFill="1" applyBorder="1" applyAlignment="1">
      <alignment horizontal="right" wrapText="1"/>
    </xf>
    <xf numFmtId="213" fontId="1" fillId="36" borderId="44" xfId="44" applyNumberFormat="1" applyFont="1" applyFill="1" applyBorder="1" applyAlignment="1" applyProtection="1">
      <alignment horizontal="right" wrapText="1"/>
      <protection/>
    </xf>
    <xf numFmtId="215" fontId="1" fillId="36" borderId="45" xfId="42" applyNumberFormat="1" applyFont="1" applyFill="1" applyBorder="1" applyAlignment="1" applyProtection="1">
      <alignment wrapText="1"/>
      <protection/>
    </xf>
    <xf numFmtId="213" fontId="1" fillId="36" borderId="43" xfId="44" applyNumberFormat="1" applyFont="1" applyFill="1" applyBorder="1" applyAlignment="1" applyProtection="1">
      <alignment horizontal="right" wrapText="1"/>
      <protection/>
    </xf>
    <xf numFmtId="215" fontId="1" fillId="36" borderId="43" xfId="42" applyNumberFormat="1" applyFont="1" applyFill="1" applyBorder="1" applyAlignment="1" applyProtection="1">
      <alignment wrapText="1"/>
      <protection/>
    </xf>
    <xf numFmtId="2" fontId="46" fillId="36" borderId="19" xfId="0" applyNumberFormat="1" applyFont="1" applyFill="1" applyBorder="1" applyAlignment="1">
      <alignment horizontal="center" wrapText="1"/>
    </xf>
    <xf numFmtId="0" fontId="46" fillId="36" borderId="22" xfId="0" applyFont="1" applyFill="1" applyBorder="1" applyAlignment="1">
      <alignment wrapText="1"/>
    </xf>
    <xf numFmtId="0" fontId="1" fillId="33" borderId="24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3" fontId="1" fillId="33" borderId="24" xfId="0" applyNumberFormat="1" applyFont="1" applyFill="1" applyBorder="1" applyAlignment="1">
      <alignment horizontal="right" wrapText="1"/>
    </xf>
    <xf numFmtId="0" fontId="1" fillId="33" borderId="27" xfId="0" applyFont="1" applyFill="1" applyBorder="1" applyAlignment="1">
      <alignment horizontal="right" wrapText="1"/>
    </xf>
    <xf numFmtId="3" fontId="24" fillId="8" borderId="39" xfId="0" applyNumberFormat="1" applyFont="1" applyFill="1" applyBorder="1" applyAlignment="1">
      <alignment horizontal="right" wrapText="1"/>
    </xf>
    <xf numFmtId="208" fontId="24" fillId="8" borderId="39" xfId="0" applyNumberFormat="1" applyFont="1" applyFill="1" applyBorder="1" applyAlignment="1">
      <alignment horizontal="right" wrapText="1"/>
    </xf>
    <xf numFmtId="164" fontId="24" fillId="8" borderId="39" xfId="42" applyNumberFormat="1" applyFont="1" applyFill="1" applyBorder="1" applyAlignment="1">
      <alignment horizontal="right" wrapText="1"/>
    </xf>
    <xf numFmtId="3" fontId="27" fillId="8" borderId="39" xfId="0" applyNumberFormat="1" applyFont="1" applyFill="1" applyBorder="1" applyAlignment="1">
      <alignment horizontal="right" wrapText="1"/>
    </xf>
    <xf numFmtId="208" fontId="24" fillId="8" borderId="39" xfId="0" applyNumberFormat="1" applyFont="1" applyFill="1" applyBorder="1" applyAlignment="1">
      <alignment wrapText="1"/>
    </xf>
    <xf numFmtId="209" fontId="24" fillId="8" borderId="39" xfId="0" applyNumberFormat="1" applyFont="1" applyFill="1" applyBorder="1" applyAlignment="1">
      <alignment horizontal="right" wrapText="1"/>
    </xf>
    <xf numFmtId="0" fontId="28" fillId="0" borderId="39" xfId="0" applyNumberFormat="1" applyFont="1" applyFill="1" applyBorder="1" applyAlignment="1">
      <alignment horizontal="center" wrapText="1"/>
    </xf>
    <xf numFmtId="0" fontId="24" fillId="0" borderId="39" xfId="0" applyNumberFormat="1" applyFont="1" applyFill="1" applyBorder="1" applyAlignment="1">
      <alignment wrapText="1"/>
    </xf>
    <xf numFmtId="0" fontId="28" fillId="0" borderId="39" xfId="0" applyNumberFormat="1" applyFont="1" applyFill="1" applyBorder="1" applyAlignment="1">
      <alignment wrapText="1"/>
    </xf>
    <xf numFmtId="0" fontId="28" fillId="0" borderId="39" xfId="0" applyNumberFormat="1" applyFont="1" applyFill="1" applyBorder="1" applyAlignment="1">
      <alignment horizontal="right" wrapText="1"/>
    </xf>
    <xf numFmtId="37" fontId="3" fillId="0" borderId="39" xfId="0" applyNumberFormat="1" applyFont="1" applyFill="1" applyBorder="1" applyAlignment="1">
      <alignment horizontal="right" wrapText="1"/>
    </xf>
    <xf numFmtId="208" fontId="24" fillId="0" borderId="39" xfId="0" applyNumberFormat="1" applyFont="1" applyFill="1" applyBorder="1" applyAlignment="1">
      <alignment horizontal="right" wrapText="1"/>
    </xf>
    <xf numFmtId="0" fontId="28" fillId="39" borderId="47" xfId="0" applyNumberFormat="1" applyFont="1" applyFill="1" applyBorder="1" applyAlignment="1">
      <alignment wrapText="1"/>
    </xf>
    <xf numFmtId="0" fontId="28" fillId="39" borderId="48" xfId="0" applyNumberFormat="1" applyFont="1" applyFill="1" applyBorder="1" applyAlignment="1">
      <alignment horizontal="right" wrapText="1"/>
    </xf>
    <xf numFmtId="0" fontId="28" fillId="39" borderId="48" xfId="0" applyNumberFormat="1" applyFont="1" applyFill="1" applyBorder="1" applyAlignment="1">
      <alignment wrapText="1"/>
    </xf>
    <xf numFmtId="0" fontId="28" fillId="33" borderId="48" xfId="0" applyNumberFormat="1" applyFont="1" applyFill="1" applyBorder="1" applyAlignment="1">
      <alignment wrapText="1"/>
    </xf>
    <xf numFmtId="0" fontId="28" fillId="33" borderId="49" xfId="0" applyNumberFormat="1" applyFont="1" applyFill="1" applyBorder="1" applyAlignment="1">
      <alignment wrapText="1"/>
    </xf>
    <xf numFmtId="0" fontId="28" fillId="39" borderId="33" xfId="0" applyNumberFormat="1" applyFont="1" applyFill="1" applyBorder="1" applyAlignment="1">
      <alignment wrapText="1"/>
    </xf>
    <xf numFmtId="0" fontId="28" fillId="39" borderId="34" xfId="0" applyNumberFormat="1" applyFont="1" applyFill="1" applyBorder="1" applyAlignment="1">
      <alignment horizontal="right" wrapText="1"/>
    </xf>
    <xf numFmtId="0" fontId="28" fillId="39" borderId="34" xfId="0" applyNumberFormat="1" applyFont="1" applyFill="1" applyBorder="1" applyAlignment="1">
      <alignment wrapText="1"/>
    </xf>
    <xf numFmtId="0" fontId="28" fillId="33" borderId="34" xfId="0" applyNumberFormat="1" applyFont="1" applyFill="1" applyBorder="1" applyAlignment="1">
      <alignment wrapText="1"/>
    </xf>
    <xf numFmtId="0" fontId="28" fillId="33" borderId="35" xfId="0" applyNumberFormat="1" applyFont="1" applyFill="1" applyBorder="1" applyAlignment="1">
      <alignment wrapText="1"/>
    </xf>
    <xf numFmtId="0" fontId="24" fillId="39" borderId="33" xfId="0" applyNumberFormat="1" applyFont="1" applyFill="1" applyBorder="1" applyAlignment="1">
      <alignment horizontal="center" wrapText="1"/>
    </xf>
    <xf numFmtId="0" fontId="24" fillId="39" borderId="34" xfId="0" applyNumberFormat="1" applyFont="1" applyFill="1" applyBorder="1" applyAlignment="1">
      <alignment horizontal="center" wrapText="1"/>
    </xf>
    <xf numFmtId="0" fontId="24" fillId="39" borderId="35" xfId="0" applyNumberFormat="1" applyFont="1" applyFill="1" applyBorder="1" applyAlignment="1">
      <alignment horizontal="right" wrapText="1"/>
    </xf>
    <xf numFmtId="0" fontId="3" fillId="0" borderId="40" xfId="0" applyFont="1" applyBorder="1" applyAlignment="1">
      <alignment/>
    </xf>
    <xf numFmtId="0" fontId="1" fillId="33" borderId="41" xfId="0" applyFont="1" applyFill="1" applyBorder="1" applyAlignment="1">
      <alignment wrapText="1"/>
    </xf>
    <xf numFmtId="0" fontId="1" fillId="33" borderId="41" xfId="0" applyFont="1" applyFill="1" applyBorder="1" applyAlignment="1">
      <alignment horizontal="right" wrapText="1"/>
    </xf>
    <xf numFmtId="0" fontId="1" fillId="0" borderId="41" xfId="0" applyFont="1" applyFill="1" applyBorder="1" applyAlignment="1">
      <alignment horizontal="right" wrapText="1"/>
    </xf>
    <xf numFmtId="164" fontId="1" fillId="33" borderId="41" xfId="42" applyNumberFormat="1" applyFont="1" applyFill="1" applyBorder="1" applyAlignment="1">
      <alignment horizontal="right" wrapText="1"/>
    </xf>
    <xf numFmtId="0" fontId="0" fillId="0" borderId="41" xfId="0" applyBorder="1" applyAlignment="1">
      <alignment/>
    </xf>
    <xf numFmtId="0" fontId="3" fillId="33" borderId="5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33" borderId="40" xfId="0" applyFont="1" applyFill="1" applyBorder="1" applyAlignment="1">
      <alignment horizontal="right" wrapText="1"/>
    </xf>
    <xf numFmtId="0" fontId="0" fillId="0" borderId="51" xfId="0" applyBorder="1" applyAlignment="1">
      <alignment/>
    </xf>
    <xf numFmtId="0" fontId="1" fillId="33" borderId="28" xfId="0" applyFont="1" applyFill="1" applyBorder="1" applyAlignment="1">
      <alignment horizontal="right" wrapText="1"/>
    </xf>
    <xf numFmtId="0" fontId="1" fillId="33" borderId="25" xfId="0" applyFont="1" applyFill="1" applyBorder="1" applyAlignment="1">
      <alignment horizontal="right" wrapText="1"/>
    </xf>
    <xf numFmtId="164" fontId="1" fillId="33" borderId="25" xfId="42" applyNumberFormat="1" applyFont="1" applyFill="1" applyBorder="1" applyAlignment="1">
      <alignment horizontal="right" wrapText="1"/>
    </xf>
    <xf numFmtId="0" fontId="1" fillId="33" borderId="25" xfId="0" applyFont="1" applyFill="1" applyBorder="1" applyAlignment="1">
      <alignment wrapText="1"/>
    </xf>
    <xf numFmtId="0" fontId="3" fillId="33" borderId="26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right" wrapText="1"/>
    </xf>
    <xf numFmtId="44" fontId="47" fillId="0" borderId="16" xfId="44" applyFont="1" applyBorder="1" applyAlignment="1">
      <alignment/>
    </xf>
    <xf numFmtId="44" fontId="0" fillId="0" borderId="16" xfId="44" applyFont="1" applyBorder="1" applyAlignment="1">
      <alignment/>
    </xf>
    <xf numFmtId="44" fontId="45" fillId="0" borderId="16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9" fillId="41" borderId="16" xfId="44" applyNumberFormat="1" applyFont="1" applyFill="1" applyBorder="1" applyAlignment="1">
      <alignment horizontal="right" wrapText="1"/>
    </xf>
    <xf numFmtId="44" fontId="3" fillId="35" borderId="16" xfId="44" applyFont="1" applyFill="1" applyBorder="1" applyAlignment="1">
      <alignment horizontal="right" wrapText="1"/>
    </xf>
    <xf numFmtId="44" fontId="30" fillId="41" borderId="16" xfId="44" applyFont="1" applyFill="1" applyBorder="1" applyAlignment="1">
      <alignment horizontal="right" wrapText="1"/>
    </xf>
    <xf numFmtId="164" fontId="30" fillId="42" borderId="16" xfId="42" applyNumberFormat="1" applyFont="1" applyFill="1" applyBorder="1" applyAlignment="1">
      <alignment horizontal="right" wrapText="1"/>
    </xf>
    <xf numFmtId="0" fontId="1" fillId="33" borderId="42" xfId="0" applyFont="1" applyFill="1" applyBorder="1" applyAlignment="1">
      <alignment horizontal="right" wrapText="1"/>
    </xf>
    <xf numFmtId="0" fontId="1" fillId="33" borderId="23" xfId="0" applyFont="1" applyFill="1" applyBorder="1" applyAlignment="1">
      <alignment horizontal="right" wrapText="1"/>
    </xf>
    <xf numFmtId="0" fontId="1" fillId="33" borderId="26" xfId="0" applyFont="1" applyFill="1" applyBorder="1" applyAlignment="1">
      <alignment horizontal="right" wrapText="1"/>
    </xf>
    <xf numFmtId="43" fontId="0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 vertical="center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A1" sqref="A1"/>
    </sheetView>
  </sheetViews>
  <sheetFormatPr defaultColWidth="11.7109375" defaultRowHeight="19.5" customHeight="1"/>
  <cols>
    <col min="1" max="1" width="2.140625" style="301" customWidth="1"/>
    <col min="2" max="2" width="7.421875" style="301" customWidth="1"/>
    <col min="3" max="3" width="38.421875" style="301" bestFit="1" customWidth="1"/>
    <col min="4" max="4" width="11.421875" style="301" customWidth="1"/>
    <col min="5" max="5" width="7.00390625" style="301" bestFit="1" customWidth="1"/>
    <col min="6" max="6" width="8.57421875" style="301" customWidth="1"/>
    <col min="7" max="7" width="11.140625" style="301" customWidth="1"/>
    <col min="8" max="8" width="12.421875" style="301" bestFit="1" customWidth="1"/>
    <col min="9" max="9" width="11.140625" style="301" customWidth="1"/>
    <col min="10" max="16384" width="11.7109375" style="301" customWidth="1"/>
  </cols>
  <sheetData>
    <row r="1" ht="15" customHeight="1" thickBot="1"/>
    <row r="2" spans="1:9" ht="15" customHeight="1" thickBot="1">
      <c r="A2" s="302"/>
      <c r="B2" s="303" t="s">
        <v>198</v>
      </c>
      <c r="C2" s="304"/>
      <c r="D2" s="304"/>
      <c r="E2" s="304"/>
      <c r="F2" s="304"/>
      <c r="G2" s="304"/>
      <c r="H2" s="304"/>
      <c r="I2" s="305"/>
    </row>
    <row r="3" spans="1:9" ht="15" customHeight="1">
      <c r="A3" s="306"/>
      <c r="B3" s="307" t="s">
        <v>5</v>
      </c>
      <c r="C3" s="308"/>
      <c r="D3" s="309" t="s">
        <v>47</v>
      </c>
      <c r="E3" s="310"/>
      <c r="F3" s="310"/>
      <c r="G3" s="309"/>
      <c r="H3" s="309"/>
      <c r="I3" s="311"/>
    </row>
    <row r="4" spans="1:9" ht="15" customHeight="1" thickBot="1">
      <c r="A4" s="306"/>
      <c r="B4" s="307" t="s">
        <v>6</v>
      </c>
      <c r="C4" s="308"/>
      <c r="D4" s="312" t="s">
        <v>184</v>
      </c>
      <c r="E4" s="312"/>
      <c r="F4" s="312"/>
      <c r="G4" s="312"/>
      <c r="H4" s="309"/>
      <c r="I4" s="311"/>
    </row>
    <row r="5" spans="1:9" ht="31.5" customHeight="1" thickBot="1">
      <c r="A5" s="306"/>
      <c r="B5" s="313" t="s">
        <v>7</v>
      </c>
      <c r="C5" s="313" t="s">
        <v>8</v>
      </c>
      <c r="D5" s="313" t="s">
        <v>9</v>
      </c>
      <c r="E5" s="313" t="s">
        <v>67</v>
      </c>
      <c r="F5" s="313" t="s">
        <v>64</v>
      </c>
      <c r="G5" s="313" t="s">
        <v>68</v>
      </c>
      <c r="H5" s="314" t="s">
        <v>119</v>
      </c>
      <c r="I5" s="315"/>
    </row>
    <row r="6" spans="1:9" ht="15.75" thickBot="1">
      <c r="A6" s="306"/>
      <c r="B6" s="313"/>
      <c r="C6" s="405"/>
      <c r="D6" s="406"/>
      <c r="E6" s="407"/>
      <c r="F6" s="313" t="s">
        <v>69</v>
      </c>
      <c r="G6" s="313" t="s">
        <v>70</v>
      </c>
      <c r="H6" s="316" t="s">
        <v>44</v>
      </c>
      <c r="I6" s="316" t="s">
        <v>11</v>
      </c>
    </row>
    <row r="7" spans="1:9" ht="15.75" thickBot="1">
      <c r="A7" s="306"/>
      <c r="B7" s="313">
        <v>1</v>
      </c>
      <c r="C7" s="317" t="s">
        <v>12</v>
      </c>
      <c r="D7" s="395"/>
      <c r="E7" s="396"/>
      <c r="F7" s="396"/>
      <c r="G7" s="397"/>
      <c r="H7" s="398"/>
      <c r="I7" s="399"/>
    </row>
    <row r="8" spans="1:9" ht="15.75" thickBot="1">
      <c r="A8" s="306"/>
      <c r="B8" s="321"/>
      <c r="C8" s="317" t="s">
        <v>13</v>
      </c>
      <c r="D8" s="400"/>
      <c r="E8" s="401"/>
      <c r="F8" s="401"/>
      <c r="G8" s="402"/>
      <c r="H8" s="403"/>
      <c r="I8" s="404"/>
    </row>
    <row r="9" spans="1:9" ht="15.75" thickBot="1">
      <c r="A9" s="306"/>
      <c r="B9" s="322">
        <v>1.1</v>
      </c>
      <c r="C9" s="323" t="s">
        <v>188</v>
      </c>
      <c r="D9" s="318" t="s">
        <v>50</v>
      </c>
      <c r="E9" s="322">
        <v>1</v>
      </c>
      <c r="F9" s="324">
        <v>50000</v>
      </c>
      <c r="G9" s="325">
        <f aca="true" t="shared" si="0" ref="G9:G14">F9/95</f>
        <v>526.3157894736842</v>
      </c>
      <c r="H9" s="326">
        <v>50000</v>
      </c>
      <c r="I9" s="327">
        <f aca="true" t="shared" si="1" ref="I9:I14">H9/95</f>
        <v>526.3157894736842</v>
      </c>
    </row>
    <row r="10" spans="1:9" ht="15.75" thickBot="1">
      <c r="A10" s="306"/>
      <c r="B10" s="322">
        <v>1.2000000000000002</v>
      </c>
      <c r="C10" s="323" t="s">
        <v>117</v>
      </c>
      <c r="D10" s="318" t="s">
        <v>50</v>
      </c>
      <c r="E10" s="322">
        <v>1</v>
      </c>
      <c r="F10" s="324">
        <v>30000</v>
      </c>
      <c r="G10" s="325">
        <f t="shared" si="0"/>
        <v>315.7894736842105</v>
      </c>
      <c r="H10" s="326">
        <v>30000</v>
      </c>
      <c r="I10" s="327">
        <f t="shared" si="1"/>
        <v>315.7894736842105</v>
      </c>
    </row>
    <row r="11" spans="1:9" ht="15.75" thickBot="1">
      <c r="A11" s="306"/>
      <c r="B11" s="322">
        <v>1.3</v>
      </c>
      <c r="C11" s="323" t="s">
        <v>148</v>
      </c>
      <c r="D11" s="318" t="s">
        <v>50</v>
      </c>
      <c r="E11" s="322">
        <v>1</v>
      </c>
      <c r="F11" s="324">
        <v>18000</v>
      </c>
      <c r="G11" s="325">
        <f t="shared" si="0"/>
        <v>189.47368421052633</v>
      </c>
      <c r="H11" s="326">
        <v>18000</v>
      </c>
      <c r="I11" s="327">
        <f t="shared" si="1"/>
        <v>189.47368421052633</v>
      </c>
    </row>
    <row r="12" spans="1:9" ht="15.75" thickBot="1">
      <c r="A12" s="306"/>
      <c r="B12" s="322">
        <v>1.4000000000000001</v>
      </c>
      <c r="C12" s="323" t="s">
        <v>149</v>
      </c>
      <c r="D12" s="318" t="s">
        <v>50</v>
      </c>
      <c r="E12" s="322">
        <v>1</v>
      </c>
      <c r="F12" s="328">
        <v>18000</v>
      </c>
      <c r="G12" s="325">
        <f t="shared" si="0"/>
        <v>189.47368421052633</v>
      </c>
      <c r="H12" s="329">
        <v>18000</v>
      </c>
      <c r="I12" s="327">
        <f t="shared" si="1"/>
        <v>189.47368421052633</v>
      </c>
    </row>
    <row r="13" spans="1:9" ht="15.75" thickBot="1">
      <c r="A13" s="306"/>
      <c r="B13" s="322">
        <v>1.5</v>
      </c>
      <c r="C13" s="323" t="s">
        <v>38</v>
      </c>
      <c r="D13" s="318" t="s">
        <v>50</v>
      </c>
      <c r="E13" s="322">
        <v>1</v>
      </c>
      <c r="F13" s="324">
        <v>12000</v>
      </c>
      <c r="G13" s="325">
        <f t="shared" si="0"/>
        <v>126.3157894736842</v>
      </c>
      <c r="H13" s="326">
        <v>12000</v>
      </c>
      <c r="I13" s="327">
        <f t="shared" si="1"/>
        <v>126.3157894736842</v>
      </c>
    </row>
    <row r="14" spans="1:9" ht="15.75" thickBot="1">
      <c r="A14" s="306"/>
      <c r="B14" s="322">
        <v>1.6</v>
      </c>
      <c r="C14" s="330" t="s">
        <v>118</v>
      </c>
      <c r="D14" s="318" t="s">
        <v>50</v>
      </c>
      <c r="E14" s="331">
        <v>1</v>
      </c>
      <c r="F14" s="326">
        <v>18000</v>
      </c>
      <c r="G14" s="327">
        <f t="shared" si="0"/>
        <v>189.47368421052633</v>
      </c>
      <c r="H14" s="326">
        <v>18000</v>
      </c>
      <c r="I14" s="327">
        <f t="shared" si="1"/>
        <v>189.47368421052633</v>
      </c>
    </row>
    <row r="15" spans="1:9" ht="15.75" thickBot="1">
      <c r="A15" s="306"/>
      <c r="B15" s="389"/>
      <c r="C15" s="390" t="s">
        <v>15</v>
      </c>
      <c r="D15" s="391"/>
      <c r="E15" s="392"/>
      <c r="F15" s="392"/>
      <c r="G15" s="392"/>
      <c r="H15" s="393">
        <f>SUM(H9:H14)</f>
        <v>146000</v>
      </c>
      <c r="I15" s="394">
        <f>SUM(I9:I14)</f>
        <v>1536.8421052631577</v>
      </c>
    </row>
    <row r="16" spans="1:9" ht="6.75" customHeight="1" thickBot="1">
      <c r="A16" s="306"/>
      <c r="B16" s="322"/>
      <c r="C16" s="317"/>
      <c r="D16" s="318"/>
      <c r="E16" s="319"/>
      <c r="F16" s="319"/>
      <c r="G16" s="319"/>
      <c r="H16" s="332"/>
      <c r="I16" s="333"/>
    </row>
    <row r="17" spans="1:9" ht="15.75" thickBot="1">
      <c r="A17" s="306"/>
      <c r="B17" s="322"/>
      <c r="C17" s="317" t="s">
        <v>16</v>
      </c>
      <c r="D17" s="318"/>
      <c r="E17" s="319"/>
      <c r="F17" s="319"/>
      <c r="G17" s="319"/>
      <c r="H17" s="334"/>
      <c r="I17" s="334"/>
    </row>
    <row r="18" spans="1:9" ht="15.75" thickBot="1">
      <c r="A18" s="306"/>
      <c r="B18" s="322">
        <v>1.19</v>
      </c>
      <c r="C18" s="323" t="s">
        <v>80</v>
      </c>
      <c r="D18" s="318" t="s">
        <v>50</v>
      </c>
      <c r="E18" s="322">
        <v>1</v>
      </c>
      <c r="F18" s="324">
        <v>18000</v>
      </c>
      <c r="G18" s="325">
        <f>F18/95</f>
        <v>189.47368421052633</v>
      </c>
      <c r="H18" s="326">
        <v>18000</v>
      </c>
      <c r="I18" s="327">
        <f>H18/95</f>
        <v>189.47368421052633</v>
      </c>
    </row>
    <row r="19" spans="1:9" ht="15.75" thickBot="1">
      <c r="A19" s="306"/>
      <c r="B19" s="322">
        <v>1.21</v>
      </c>
      <c r="C19" s="323" t="s">
        <v>71</v>
      </c>
      <c r="D19" s="318" t="s">
        <v>50</v>
      </c>
      <c r="E19" s="322">
        <v>1</v>
      </c>
      <c r="F19" s="328">
        <v>12000</v>
      </c>
      <c r="G19" s="325">
        <f>F19/95</f>
        <v>126.3157894736842</v>
      </c>
      <c r="H19" s="326">
        <v>12000</v>
      </c>
      <c r="I19" s="327">
        <f>H19/95</f>
        <v>126.3157894736842</v>
      </c>
    </row>
    <row r="20" spans="1:9" ht="15.75" thickBot="1">
      <c r="A20" s="306"/>
      <c r="B20" s="322">
        <v>1.22</v>
      </c>
      <c r="C20" s="323" t="s">
        <v>72</v>
      </c>
      <c r="D20" s="318" t="s">
        <v>50</v>
      </c>
      <c r="E20" s="322">
        <v>2</v>
      </c>
      <c r="F20" s="324">
        <v>7000</v>
      </c>
      <c r="G20" s="325">
        <f>F20/95</f>
        <v>73.6842105263158</v>
      </c>
      <c r="H20" s="326">
        <v>14000</v>
      </c>
      <c r="I20" s="327">
        <f>H20/95</f>
        <v>147.3684210526316</v>
      </c>
    </row>
    <row r="21" spans="1:9" ht="15.75" thickBot="1">
      <c r="A21" s="306"/>
      <c r="B21" s="322">
        <v>1.23</v>
      </c>
      <c r="C21" s="323" t="s">
        <v>150</v>
      </c>
      <c r="D21" s="318" t="s">
        <v>50</v>
      </c>
      <c r="E21" s="322">
        <v>2</v>
      </c>
      <c r="F21" s="324">
        <v>7000</v>
      </c>
      <c r="G21" s="325">
        <f>F21/95</f>
        <v>73.6842105263158</v>
      </c>
      <c r="H21" s="326">
        <v>14000</v>
      </c>
      <c r="I21" s="327">
        <f>H21/95</f>
        <v>147.3684210526316</v>
      </c>
    </row>
    <row r="22" spans="1:9" ht="15.75" thickBot="1">
      <c r="A22" s="306"/>
      <c r="B22" s="322"/>
      <c r="C22" s="317" t="s">
        <v>17</v>
      </c>
      <c r="D22" s="318"/>
      <c r="E22" s="319"/>
      <c r="F22" s="319"/>
      <c r="G22" s="319"/>
      <c r="H22" s="335">
        <f>SUM(H18:H21)</f>
        <v>58000</v>
      </c>
      <c r="I22" s="333">
        <f>SUM(I18:I21)</f>
        <v>610.5263157894736</v>
      </c>
    </row>
    <row r="23" spans="1:9" ht="15.75" thickBot="1">
      <c r="A23" s="306"/>
      <c r="B23" s="336"/>
      <c r="C23" s="337" t="s">
        <v>18</v>
      </c>
      <c r="D23" s="337"/>
      <c r="E23" s="338"/>
      <c r="F23" s="338"/>
      <c r="G23" s="337"/>
      <c r="H23" s="383">
        <f>H22+H15</f>
        <v>204000</v>
      </c>
      <c r="I23" s="384">
        <f>+I22+I15</f>
        <v>2147.368421052631</v>
      </c>
    </row>
    <row r="24" spans="1:9" ht="15.75" thickBot="1">
      <c r="A24" s="306"/>
      <c r="B24" s="313">
        <v>2</v>
      </c>
      <c r="C24" s="317" t="s">
        <v>19</v>
      </c>
      <c r="D24" s="318"/>
      <c r="E24" s="319"/>
      <c r="F24" s="319"/>
      <c r="G24" s="318"/>
      <c r="H24" s="320"/>
      <c r="I24" s="320"/>
    </row>
    <row r="25" spans="1:9" ht="16.5" customHeight="1" thickBot="1">
      <c r="A25" s="306"/>
      <c r="B25" s="321">
        <v>2.1</v>
      </c>
      <c r="C25" s="318" t="s">
        <v>151</v>
      </c>
      <c r="D25" s="318" t="s">
        <v>50</v>
      </c>
      <c r="E25" s="339">
        <v>1</v>
      </c>
      <c r="F25" s="340">
        <v>4000</v>
      </c>
      <c r="G25" s="325">
        <f>F25/95</f>
        <v>42.10526315789474</v>
      </c>
      <c r="H25" s="341">
        <f>F25</f>
        <v>4000</v>
      </c>
      <c r="I25" s="327">
        <f>G25</f>
        <v>42.10526315789474</v>
      </c>
    </row>
    <row r="26" spans="1:9" ht="15.75" thickBot="1">
      <c r="A26" s="306"/>
      <c r="B26" s="336"/>
      <c r="C26" s="337" t="s">
        <v>21</v>
      </c>
      <c r="D26" s="337"/>
      <c r="E26" s="338"/>
      <c r="F26" s="338"/>
      <c r="G26" s="338"/>
      <c r="H26" s="385">
        <f>SUM(H25:H25)</f>
        <v>4000</v>
      </c>
      <c r="I26" s="384">
        <f>SUM(I25:I25)</f>
        <v>42.10526315789474</v>
      </c>
    </row>
    <row r="27" spans="1:9" ht="15.75" thickBot="1">
      <c r="A27" s="306"/>
      <c r="B27" s="313">
        <v>3</v>
      </c>
      <c r="C27" s="317" t="s">
        <v>23</v>
      </c>
      <c r="D27" s="318"/>
      <c r="E27" s="319"/>
      <c r="F27" s="319"/>
      <c r="G27" s="319"/>
      <c r="H27" s="334"/>
      <c r="I27" s="334"/>
    </row>
    <row r="28" spans="1:9" ht="15.75" thickBot="1">
      <c r="A28" s="306"/>
      <c r="B28" s="321">
        <v>3.1</v>
      </c>
      <c r="C28" s="320" t="s">
        <v>152</v>
      </c>
      <c r="D28" s="320" t="s">
        <v>50</v>
      </c>
      <c r="E28" s="334">
        <v>1</v>
      </c>
      <c r="F28" s="342">
        <v>30000</v>
      </c>
      <c r="G28" s="327">
        <f>F28/95</f>
        <v>315.7894736842105</v>
      </c>
      <c r="H28" s="342">
        <v>30000</v>
      </c>
      <c r="I28" s="327">
        <f>G28</f>
        <v>315.7894736842105</v>
      </c>
    </row>
    <row r="29" spans="1:9" ht="15.75" thickBot="1">
      <c r="A29" s="306"/>
      <c r="B29" s="322">
        <v>3.11</v>
      </c>
      <c r="C29" s="318" t="s">
        <v>153</v>
      </c>
      <c r="D29" s="318" t="s">
        <v>50</v>
      </c>
      <c r="E29" s="319">
        <v>1</v>
      </c>
      <c r="F29" s="340">
        <v>10000</v>
      </c>
      <c r="G29" s="327">
        <f>F29/95</f>
        <v>105.26315789473684</v>
      </c>
      <c r="H29" s="342">
        <v>10000</v>
      </c>
      <c r="I29" s="327">
        <f>G29</f>
        <v>105.26315789473684</v>
      </c>
    </row>
    <row r="30" spans="1:9" ht="15.75" thickBot="1">
      <c r="A30" s="306"/>
      <c r="B30" s="322">
        <v>3.12</v>
      </c>
      <c r="C30" s="318" t="s">
        <v>73</v>
      </c>
      <c r="D30" s="318" t="s">
        <v>50</v>
      </c>
      <c r="E30" s="319">
        <v>1</v>
      </c>
      <c r="F30" s="340">
        <v>2000</v>
      </c>
      <c r="G30" s="327">
        <f>F30/95</f>
        <v>21.05263157894737</v>
      </c>
      <c r="H30" s="342">
        <v>2000</v>
      </c>
      <c r="I30" s="327">
        <f>G30</f>
        <v>21.05263157894737</v>
      </c>
    </row>
    <row r="31" spans="1:9" ht="15.75" thickBot="1">
      <c r="A31" s="306"/>
      <c r="B31" s="336"/>
      <c r="C31" s="337" t="s">
        <v>28</v>
      </c>
      <c r="D31" s="345"/>
      <c r="E31" s="346"/>
      <c r="F31" s="346"/>
      <c r="G31" s="346"/>
      <c r="H31" s="383">
        <f>SUM(H28:H30)</f>
        <v>42000</v>
      </c>
      <c r="I31" s="384">
        <f>SUM(I28:I30)</f>
        <v>442.1052631578947</v>
      </c>
    </row>
    <row r="32" spans="1:9" ht="15.75" thickBot="1">
      <c r="A32" s="306"/>
      <c r="B32" s="313">
        <v>4</v>
      </c>
      <c r="C32" s="317" t="s">
        <v>29</v>
      </c>
      <c r="D32" s="318"/>
      <c r="E32" s="319"/>
      <c r="F32" s="319"/>
      <c r="G32" s="318"/>
      <c r="H32" s="320"/>
      <c r="I32" s="320"/>
    </row>
    <row r="33" spans="1:9" ht="15.75" thickBot="1">
      <c r="A33" s="306"/>
      <c r="B33" s="347">
        <v>4.1</v>
      </c>
      <c r="C33" s="320" t="s">
        <v>0</v>
      </c>
      <c r="D33" s="320" t="s">
        <v>50</v>
      </c>
      <c r="E33" s="334">
        <v>1</v>
      </c>
      <c r="F33" s="342">
        <v>250000</v>
      </c>
      <c r="G33" s="327">
        <f>F33/95</f>
        <v>2631.5789473684213</v>
      </c>
      <c r="H33" s="342">
        <v>250000</v>
      </c>
      <c r="I33" s="327">
        <f>H33/95</f>
        <v>2631.5789473684213</v>
      </c>
    </row>
    <row r="34" spans="1:9" ht="15.75" thickBot="1">
      <c r="A34" s="306"/>
      <c r="B34" s="322">
        <v>4.11</v>
      </c>
      <c r="C34" s="318" t="s">
        <v>154</v>
      </c>
      <c r="D34" s="318" t="s">
        <v>50</v>
      </c>
      <c r="E34" s="319">
        <v>1</v>
      </c>
      <c r="F34" s="340">
        <v>10000</v>
      </c>
      <c r="G34" s="327">
        <f>F34/95</f>
        <v>105.26315789473684</v>
      </c>
      <c r="H34" s="334">
        <f>F34</f>
        <v>10000</v>
      </c>
      <c r="I34" s="327">
        <f>H34/95</f>
        <v>105.26315789473684</v>
      </c>
    </row>
    <row r="35" spans="1:9" ht="15.75" thickBot="1">
      <c r="A35" s="306"/>
      <c r="B35" s="336"/>
      <c r="C35" s="337" t="s">
        <v>32</v>
      </c>
      <c r="D35" s="337"/>
      <c r="E35" s="346"/>
      <c r="F35" s="346"/>
      <c r="G35" s="345"/>
      <c r="H35" s="386">
        <f>SUM(H33:H34)</f>
        <v>260000</v>
      </c>
      <c r="I35" s="387">
        <f>I33+I34</f>
        <v>2736.842105263158</v>
      </c>
    </row>
    <row r="36" spans="1:9" ht="15.75" thickBot="1">
      <c r="A36" s="306"/>
      <c r="B36" s="313">
        <v>5</v>
      </c>
      <c r="C36" s="317" t="s">
        <v>35</v>
      </c>
      <c r="D36" s="318"/>
      <c r="E36" s="319"/>
      <c r="F36" s="319"/>
      <c r="G36" s="319"/>
      <c r="H36" s="334"/>
      <c r="I36" s="334"/>
    </row>
    <row r="37" spans="1:9" ht="17.25" customHeight="1" thickBot="1">
      <c r="A37" s="306"/>
      <c r="B37" s="321">
        <v>5.1</v>
      </c>
      <c r="C37" s="318" t="s">
        <v>165</v>
      </c>
      <c r="D37" s="318" t="s">
        <v>50</v>
      </c>
      <c r="E37" s="319">
        <v>1</v>
      </c>
      <c r="F37" s="340">
        <f>510000*0.05</f>
        <v>25500</v>
      </c>
      <c r="G37" s="343">
        <f>+F37/95</f>
        <v>268.42105263157896</v>
      </c>
      <c r="H37" s="340">
        <f>+F37</f>
        <v>25500</v>
      </c>
      <c r="I37" s="344">
        <f>+F37/95</f>
        <v>268.42105263157896</v>
      </c>
    </row>
    <row r="38" spans="1:9" ht="15.75" thickBot="1">
      <c r="A38" s="306"/>
      <c r="B38" s="322">
        <v>5.11</v>
      </c>
      <c r="C38" s="318" t="s">
        <v>166</v>
      </c>
      <c r="D38" s="318" t="s">
        <v>50</v>
      </c>
      <c r="E38" s="319">
        <v>1</v>
      </c>
      <c r="F38" s="340">
        <f>510000*0.05</f>
        <v>25500</v>
      </c>
      <c r="G38" s="343">
        <f>+F38/95</f>
        <v>268.42105263157896</v>
      </c>
      <c r="H38" s="340">
        <f>+F38</f>
        <v>25500</v>
      </c>
      <c r="I38" s="344">
        <f>+F38/95</f>
        <v>268.42105263157896</v>
      </c>
    </row>
    <row r="39" spans="1:10" ht="15.75" thickBot="1">
      <c r="A39" s="306"/>
      <c r="B39" s="336"/>
      <c r="C39" s="337" t="s">
        <v>36</v>
      </c>
      <c r="D39" s="345"/>
      <c r="E39" s="346"/>
      <c r="F39" s="346"/>
      <c r="G39" s="346"/>
      <c r="H39" s="383">
        <f>SUM(H37:H38)</f>
        <v>51000</v>
      </c>
      <c r="I39" s="388">
        <f>SUM(I37:I38)</f>
        <v>536.8421052631579</v>
      </c>
      <c r="J39" s="348"/>
    </row>
    <row r="40" spans="1:11" ht="26.25" customHeight="1" thickBot="1">
      <c r="A40" s="306"/>
      <c r="B40" s="322"/>
      <c r="C40" s="313" t="s">
        <v>37</v>
      </c>
      <c r="D40" s="318"/>
      <c r="E40" s="319"/>
      <c r="F40" s="319"/>
      <c r="G40" s="318"/>
      <c r="H40" s="349">
        <f>H23+H26+H31+H35+H39</f>
        <v>561000</v>
      </c>
      <c r="I40" s="350">
        <f>+I39+I35+I31+I26+I23</f>
        <v>5905.263157894737</v>
      </c>
      <c r="K40" s="348"/>
    </row>
  </sheetData>
  <sheetProtection/>
  <mergeCells count="5">
    <mergeCell ref="H5:I5"/>
    <mergeCell ref="B2:I2"/>
    <mergeCell ref="B3:C3"/>
    <mergeCell ref="B4:C4"/>
    <mergeCell ref="D4:G4"/>
  </mergeCells>
  <printOptions/>
  <pageMargins left="0.7" right="0.7" top="0.75" bottom="0.75" header="0.3" footer="0.3"/>
  <pageSetup horizontalDpi="600" verticalDpi="600" orientation="landscape" scale="74" r:id="rId1"/>
  <rowBreaks count="1" manualBreakCount="1">
    <brk id="23" max="255" man="1"/>
  </rowBreaks>
  <colBreaks count="1" manualBreakCount="1">
    <brk id="9" max="65535" man="1"/>
  </colBreaks>
  <ignoredErrors>
    <ignoredError sqref="H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.7109375" style="0" customWidth="1"/>
    <col min="2" max="2" width="5.421875" style="0" customWidth="1"/>
    <col min="3" max="3" width="38.140625" style="0" bestFit="1" customWidth="1"/>
    <col min="4" max="4" width="10.421875" style="0" customWidth="1"/>
    <col min="5" max="5" width="7.7109375" style="5" customWidth="1"/>
    <col min="6" max="7" width="9.7109375" style="0" customWidth="1"/>
    <col min="8" max="8" width="10.57421875" style="0" bestFit="1" customWidth="1"/>
    <col min="9" max="9" width="9.7109375" style="0" customWidth="1"/>
  </cols>
  <sheetData>
    <row r="1" ht="15" customHeight="1" thickBot="1"/>
    <row r="2" spans="1:9" s="207" customFormat="1" ht="15" customHeight="1" thickBot="1">
      <c r="A2" s="204"/>
      <c r="B2" s="256" t="s">
        <v>200</v>
      </c>
      <c r="C2" s="296"/>
      <c r="D2" s="296"/>
      <c r="E2" s="296"/>
      <c r="F2" s="296"/>
      <c r="G2" s="296"/>
      <c r="H2" s="296"/>
      <c r="I2" s="297"/>
    </row>
    <row r="3" spans="1:9" ht="15" customHeight="1">
      <c r="A3" s="3"/>
      <c r="B3" s="290" t="s">
        <v>193</v>
      </c>
      <c r="C3" s="214"/>
      <c r="D3" s="300" t="s">
        <v>190</v>
      </c>
      <c r="E3" s="34"/>
      <c r="F3" s="35"/>
      <c r="G3" s="33"/>
      <c r="H3" s="33"/>
      <c r="I3" s="286"/>
    </row>
    <row r="4" spans="1:9" ht="15" customHeight="1" thickBot="1">
      <c r="A4" s="3"/>
      <c r="B4" s="291" t="s">
        <v>192</v>
      </c>
      <c r="C4" s="287"/>
      <c r="D4" s="298" t="s">
        <v>191</v>
      </c>
      <c r="E4" s="299"/>
      <c r="F4" s="299"/>
      <c r="G4" s="288"/>
      <c r="H4" s="7"/>
      <c r="I4" s="289"/>
    </row>
    <row r="5" spans="1:9" ht="15" customHeight="1" thickBot="1">
      <c r="A5" s="3"/>
      <c r="B5" s="9" t="s">
        <v>7</v>
      </c>
      <c r="C5" s="10" t="s">
        <v>8</v>
      </c>
      <c r="D5" s="10" t="s">
        <v>9</v>
      </c>
      <c r="E5" s="10" t="s">
        <v>10</v>
      </c>
      <c r="F5" s="211" t="s">
        <v>45</v>
      </c>
      <c r="G5" s="212"/>
      <c r="H5" s="211" t="s">
        <v>116</v>
      </c>
      <c r="I5" s="212"/>
    </row>
    <row r="6" spans="1:9" ht="15" customHeight="1" thickBot="1">
      <c r="A6" s="3"/>
      <c r="B6" s="9"/>
      <c r="C6" s="205"/>
      <c r="D6" s="283"/>
      <c r="E6" s="206"/>
      <c r="F6" s="10" t="s">
        <v>44</v>
      </c>
      <c r="G6" s="10" t="s">
        <v>11</v>
      </c>
      <c r="H6" s="32" t="s">
        <v>44</v>
      </c>
      <c r="I6" s="10" t="s">
        <v>11</v>
      </c>
    </row>
    <row r="7" spans="1:9" ht="15" customHeight="1" thickBot="1">
      <c r="A7" s="3"/>
      <c r="B7" s="9">
        <v>1</v>
      </c>
      <c r="C7" s="11" t="s">
        <v>12</v>
      </c>
      <c r="D7" s="8"/>
      <c r="E7" s="29"/>
      <c r="F7" s="12"/>
      <c r="G7" s="8"/>
      <c r="H7" s="16"/>
      <c r="I7" s="8"/>
    </row>
    <row r="8" spans="1:9" ht="15" customHeight="1" thickBot="1">
      <c r="A8" s="3"/>
      <c r="B8" s="17"/>
      <c r="C8" s="11" t="s">
        <v>13</v>
      </c>
      <c r="D8" s="8"/>
      <c r="E8" s="29"/>
      <c r="F8" s="12"/>
      <c r="G8" s="8"/>
      <c r="H8" s="16"/>
      <c r="I8" s="8"/>
    </row>
    <row r="9" spans="1:9" ht="15" customHeight="1" thickBot="1">
      <c r="A9" s="3"/>
      <c r="B9" s="13">
        <v>1.11</v>
      </c>
      <c r="C9" s="8" t="s">
        <v>101</v>
      </c>
      <c r="D9" s="8" t="s">
        <v>50</v>
      </c>
      <c r="E9" s="29">
        <v>2</v>
      </c>
      <c r="F9" s="16">
        <v>40000</v>
      </c>
      <c r="G9" s="14">
        <f>+F9/95</f>
        <v>421.05263157894734</v>
      </c>
      <c r="H9" s="16">
        <v>80000</v>
      </c>
      <c r="I9" s="14">
        <f>+H9/95</f>
        <v>842.1052631578947</v>
      </c>
    </row>
    <row r="10" spans="1:9" ht="15" customHeight="1" thickBot="1">
      <c r="A10" s="3"/>
      <c r="B10" s="13">
        <v>1.12</v>
      </c>
      <c r="C10" s="266" t="s">
        <v>189</v>
      </c>
      <c r="D10" s="8" t="s">
        <v>50</v>
      </c>
      <c r="E10" s="29">
        <v>3</v>
      </c>
      <c r="F10" s="16">
        <v>10000</v>
      </c>
      <c r="G10" s="14">
        <f>+F10/95</f>
        <v>105.26315789473684</v>
      </c>
      <c r="H10" s="16">
        <v>30000</v>
      </c>
      <c r="I10" s="14">
        <f aca="true" t="shared" si="0" ref="I10:I19">+H10/95</f>
        <v>315.7894736842105</v>
      </c>
    </row>
    <row r="11" spans="1:9" ht="15" customHeight="1" thickBot="1">
      <c r="A11" s="3"/>
      <c r="B11" s="13">
        <v>1.1300000000000001</v>
      </c>
      <c r="C11" s="266" t="s">
        <v>201</v>
      </c>
      <c r="D11" s="8" t="s">
        <v>50</v>
      </c>
      <c r="E11" s="29">
        <v>1</v>
      </c>
      <c r="F11" s="16">
        <v>10000</v>
      </c>
      <c r="G11" s="14">
        <f>+F11/95</f>
        <v>105.26315789473684</v>
      </c>
      <c r="H11" s="16">
        <v>10000</v>
      </c>
      <c r="I11" s="14">
        <f t="shared" si="0"/>
        <v>105.26315789473684</v>
      </c>
    </row>
    <row r="12" spans="1:9" ht="15" customHeight="1" thickBot="1">
      <c r="A12" s="3"/>
      <c r="B12" s="13">
        <v>1.1400000000000001</v>
      </c>
      <c r="C12" s="24" t="s">
        <v>102</v>
      </c>
      <c r="D12" s="24" t="s">
        <v>50</v>
      </c>
      <c r="E12" s="29">
        <v>1</v>
      </c>
      <c r="F12" s="16">
        <v>15000</v>
      </c>
      <c r="G12" s="14">
        <f>+F12/95</f>
        <v>157.89473684210526</v>
      </c>
      <c r="H12" s="16">
        <v>15000</v>
      </c>
      <c r="I12" s="14">
        <f t="shared" si="0"/>
        <v>157.89473684210526</v>
      </c>
    </row>
    <row r="13" spans="1:9" ht="15" customHeight="1" thickBot="1">
      <c r="A13" s="3"/>
      <c r="B13" s="13">
        <v>1.1500000000000001</v>
      </c>
      <c r="C13" s="8" t="s">
        <v>103</v>
      </c>
      <c r="D13" s="8"/>
      <c r="E13" s="29">
        <v>1</v>
      </c>
      <c r="F13" s="16">
        <v>12000</v>
      </c>
      <c r="G13" s="14">
        <f>+F13/95</f>
        <v>126.3157894736842</v>
      </c>
      <c r="H13" s="16">
        <v>12000</v>
      </c>
      <c r="I13" s="14">
        <f t="shared" si="0"/>
        <v>126.3157894736842</v>
      </c>
    </row>
    <row r="14" spans="1:9" ht="15" customHeight="1" thickBot="1">
      <c r="A14" s="3"/>
      <c r="B14" s="13"/>
      <c r="C14" s="11" t="s">
        <v>15</v>
      </c>
      <c r="D14" s="8"/>
      <c r="E14" s="12"/>
      <c r="F14" s="131"/>
      <c r="G14" s="14"/>
      <c r="H14" s="132">
        <v>147000</v>
      </c>
      <c r="I14" s="131">
        <f>SUM(I9:I13)</f>
        <v>1547.3684210526314</v>
      </c>
    </row>
    <row r="15" spans="1:9" s="207" customFormat="1" ht="5.25" customHeight="1" thickBot="1">
      <c r="A15" s="3"/>
      <c r="B15" s="13"/>
      <c r="C15" s="11"/>
      <c r="D15" s="8"/>
      <c r="E15" s="12"/>
      <c r="F15" s="131"/>
      <c r="G15" s="14"/>
      <c r="H15" s="132"/>
      <c r="I15" s="131"/>
    </row>
    <row r="16" spans="1:9" ht="15" customHeight="1" thickBot="1">
      <c r="A16" s="3"/>
      <c r="B16" s="13"/>
      <c r="C16" s="11" t="s">
        <v>16</v>
      </c>
      <c r="D16" s="8"/>
      <c r="E16" s="29"/>
      <c r="F16" s="12"/>
      <c r="G16" s="12"/>
      <c r="H16" s="16"/>
      <c r="I16" s="14"/>
    </row>
    <row r="17" spans="1:9" ht="15" customHeight="1" thickBot="1">
      <c r="A17" s="3"/>
      <c r="B17" s="13">
        <v>1.16</v>
      </c>
      <c r="C17" s="8" t="s">
        <v>104</v>
      </c>
      <c r="D17" s="8" t="s">
        <v>50</v>
      </c>
      <c r="E17" s="29">
        <v>1</v>
      </c>
      <c r="F17" s="16">
        <v>5000</v>
      </c>
      <c r="G17" s="14">
        <f>+F17/95</f>
        <v>52.63157894736842</v>
      </c>
      <c r="H17" s="16">
        <v>5000</v>
      </c>
      <c r="I17" s="14">
        <f t="shared" si="0"/>
        <v>52.63157894736842</v>
      </c>
    </row>
    <row r="18" spans="1:9" ht="15" customHeight="1" thickBot="1">
      <c r="A18" s="3"/>
      <c r="B18" s="13" t="s">
        <v>105</v>
      </c>
      <c r="C18" s="8" t="s">
        <v>106</v>
      </c>
      <c r="D18" s="8" t="s">
        <v>50</v>
      </c>
      <c r="E18" s="29">
        <v>3</v>
      </c>
      <c r="F18" s="16">
        <v>5000</v>
      </c>
      <c r="G18" s="14">
        <f>+F18/95</f>
        <v>52.63157894736842</v>
      </c>
      <c r="H18" s="16">
        <v>15000</v>
      </c>
      <c r="I18" s="14">
        <f t="shared" si="0"/>
        <v>157.89473684210526</v>
      </c>
    </row>
    <row r="19" spans="1:9" ht="15" customHeight="1" thickBot="1">
      <c r="A19" s="3"/>
      <c r="B19" s="13">
        <v>1.18</v>
      </c>
      <c r="C19" s="8" t="s">
        <v>120</v>
      </c>
      <c r="D19" s="8" t="s">
        <v>50</v>
      </c>
      <c r="E19" s="29">
        <v>3</v>
      </c>
      <c r="F19" s="16">
        <v>5000</v>
      </c>
      <c r="G19" s="14">
        <f>+F19/95</f>
        <v>52.63157894736842</v>
      </c>
      <c r="H19" s="16">
        <v>15000</v>
      </c>
      <c r="I19" s="14">
        <f t="shared" si="0"/>
        <v>157.89473684210526</v>
      </c>
    </row>
    <row r="20" spans="1:9" ht="15" customHeight="1" thickBot="1">
      <c r="A20" s="3"/>
      <c r="B20" s="13"/>
      <c r="C20" s="11" t="s">
        <v>17</v>
      </c>
      <c r="D20" s="8"/>
      <c r="E20" s="29"/>
      <c r="F20" s="16"/>
      <c r="G20" s="131"/>
      <c r="H20" s="132">
        <v>35000</v>
      </c>
      <c r="I20" s="190">
        <f>SUM(I17:I19)</f>
        <v>368.42105263157896</v>
      </c>
    </row>
    <row r="21" spans="1:9" ht="15" customHeight="1" thickBot="1">
      <c r="A21" s="3"/>
      <c r="B21" s="21"/>
      <c r="C21" s="18" t="s">
        <v>18</v>
      </c>
      <c r="D21" s="18"/>
      <c r="E21" s="30"/>
      <c r="F21" s="19"/>
      <c r="G21" s="18"/>
      <c r="H21" s="52">
        <f>+H20+H14</f>
        <v>182000</v>
      </c>
      <c r="I21" s="54">
        <f>+I20+I14</f>
        <v>1915.7894736842104</v>
      </c>
    </row>
    <row r="22" spans="1:9" ht="15" customHeight="1" thickBot="1">
      <c r="A22" s="3"/>
      <c r="B22" s="9">
        <v>2</v>
      </c>
      <c r="C22" s="11" t="s">
        <v>19</v>
      </c>
      <c r="D22" s="57"/>
      <c r="E22" s="377"/>
      <c r="F22" s="381"/>
      <c r="G22" s="183"/>
      <c r="H22" s="183"/>
      <c r="I22" s="378"/>
    </row>
    <row r="23" spans="1:9" ht="15" customHeight="1" thickBot="1">
      <c r="A23" s="3"/>
      <c r="B23" s="17">
        <v>2.1</v>
      </c>
      <c r="C23" s="8" t="s">
        <v>20</v>
      </c>
      <c r="D23" s="8" t="s">
        <v>50</v>
      </c>
      <c r="E23" s="29"/>
      <c r="F23" s="16"/>
      <c r="G23" s="14">
        <f>+F23/95</f>
        <v>0</v>
      </c>
      <c r="H23" s="16">
        <v>15000</v>
      </c>
      <c r="I23" s="14">
        <f>+H23/95</f>
        <v>157.89473684210526</v>
      </c>
    </row>
    <row r="24" spans="1:9" ht="15" customHeight="1" thickBot="1">
      <c r="A24" s="3"/>
      <c r="B24" s="21"/>
      <c r="C24" s="18" t="s">
        <v>21</v>
      </c>
      <c r="D24" s="18"/>
      <c r="E24" s="30"/>
      <c r="F24" s="19"/>
      <c r="G24" s="19"/>
      <c r="H24" s="53">
        <f>+H23</f>
        <v>15000</v>
      </c>
      <c r="I24" s="133">
        <f>+I23</f>
        <v>157.89473684210526</v>
      </c>
    </row>
    <row r="25" spans="1:9" ht="15" customHeight="1" thickBot="1">
      <c r="A25" s="3"/>
      <c r="B25" s="9">
        <v>4</v>
      </c>
      <c r="C25" s="11" t="s">
        <v>23</v>
      </c>
      <c r="D25" s="57"/>
      <c r="E25" s="377"/>
      <c r="F25" s="277"/>
      <c r="G25" s="277"/>
      <c r="H25" s="277"/>
      <c r="I25" s="382"/>
    </row>
    <row r="26" spans="1:9" ht="15" customHeight="1" thickBot="1">
      <c r="A26" s="3"/>
      <c r="B26" s="180">
        <v>4.1</v>
      </c>
      <c r="C26" s="181" t="s">
        <v>127</v>
      </c>
      <c r="D26" s="181" t="s">
        <v>50</v>
      </c>
      <c r="E26" s="29"/>
      <c r="F26" s="12"/>
      <c r="G26" s="14"/>
      <c r="H26" s="14"/>
      <c r="I26" s="14"/>
    </row>
    <row r="27" spans="1:9" ht="15" customHeight="1" thickBot="1">
      <c r="A27" s="3"/>
      <c r="B27" s="182">
        <v>4.11</v>
      </c>
      <c r="C27" s="181" t="s">
        <v>24</v>
      </c>
      <c r="D27" s="181" t="s">
        <v>50</v>
      </c>
      <c r="E27" s="29"/>
      <c r="F27" s="12"/>
      <c r="G27" s="14"/>
      <c r="H27" s="14"/>
      <c r="I27" s="14"/>
    </row>
    <row r="28" spans="1:9" ht="15" customHeight="1" thickBot="1">
      <c r="A28" s="3"/>
      <c r="B28" s="182">
        <v>4.12</v>
      </c>
      <c r="C28" s="181" t="s">
        <v>132</v>
      </c>
      <c r="D28" s="181" t="s">
        <v>50</v>
      </c>
      <c r="E28" s="29"/>
      <c r="F28" s="12"/>
      <c r="G28" s="14"/>
      <c r="H28" s="14"/>
      <c r="I28" s="14"/>
    </row>
    <row r="29" spans="1:9" ht="15" customHeight="1" thickBot="1">
      <c r="A29" s="3"/>
      <c r="B29" s="182">
        <v>4.13</v>
      </c>
      <c r="C29" s="181" t="s">
        <v>26</v>
      </c>
      <c r="D29" s="181" t="s">
        <v>50</v>
      </c>
      <c r="E29" s="29"/>
      <c r="F29" s="12"/>
      <c r="G29" s="14"/>
      <c r="H29" s="14"/>
      <c r="I29" s="14"/>
    </row>
    <row r="30" spans="1:9" ht="15" customHeight="1" thickBot="1">
      <c r="A30" s="3"/>
      <c r="B30" s="13">
        <v>4.14</v>
      </c>
      <c r="C30" s="266" t="s">
        <v>126</v>
      </c>
      <c r="D30" s="8" t="s">
        <v>50</v>
      </c>
      <c r="E30" s="29"/>
      <c r="F30" s="16"/>
      <c r="G30" s="14"/>
      <c r="H30" s="16">
        <v>2000</v>
      </c>
      <c r="I30" s="14">
        <f>+H30/95</f>
        <v>21.05263157894737</v>
      </c>
    </row>
    <row r="31" spans="1:9" ht="15" customHeight="1" thickBot="1">
      <c r="A31" s="3"/>
      <c r="B31" s="13">
        <v>4.15</v>
      </c>
      <c r="C31" s="8" t="s">
        <v>2</v>
      </c>
      <c r="D31" s="8" t="s">
        <v>50</v>
      </c>
      <c r="E31" s="29"/>
      <c r="F31" s="16"/>
      <c r="G31" s="14"/>
      <c r="H31" s="16">
        <v>20000</v>
      </c>
      <c r="I31" s="14">
        <f aca="true" t="shared" si="1" ref="I31:I40">+H31/95</f>
        <v>210.52631578947367</v>
      </c>
    </row>
    <row r="32" spans="1:9" ht="15" customHeight="1" thickBot="1">
      <c r="A32" s="3"/>
      <c r="B32" s="13">
        <v>4.16</v>
      </c>
      <c r="C32" s="266" t="s">
        <v>197</v>
      </c>
      <c r="D32" s="8" t="s">
        <v>50</v>
      </c>
      <c r="E32" s="29"/>
      <c r="F32" s="16"/>
      <c r="G32" s="14"/>
      <c r="H32" s="16">
        <v>5000</v>
      </c>
      <c r="I32" s="14">
        <f t="shared" si="1"/>
        <v>52.63157894736842</v>
      </c>
    </row>
    <row r="33" spans="1:9" ht="15" customHeight="1" thickBot="1">
      <c r="A33" s="3"/>
      <c r="B33" s="182">
        <v>4.17</v>
      </c>
      <c r="C33" s="181" t="s">
        <v>156</v>
      </c>
      <c r="D33" s="181" t="s">
        <v>136</v>
      </c>
      <c r="E33" s="184"/>
      <c r="F33" s="12"/>
      <c r="G33" s="14"/>
      <c r="H33" s="12"/>
      <c r="I33" s="14"/>
    </row>
    <row r="34" spans="1:9" ht="15" customHeight="1" thickBot="1">
      <c r="A34" s="3"/>
      <c r="B34" s="182">
        <v>4.18</v>
      </c>
      <c r="C34" s="181" t="s">
        <v>27</v>
      </c>
      <c r="D34" s="181" t="s">
        <v>50</v>
      </c>
      <c r="E34" s="184"/>
      <c r="F34" s="12"/>
      <c r="G34" s="14"/>
      <c r="H34" s="12"/>
      <c r="I34" s="14"/>
    </row>
    <row r="35" spans="1:9" ht="15" customHeight="1" thickBot="1">
      <c r="A35" s="3"/>
      <c r="B35" s="272">
        <v>4.19</v>
      </c>
      <c r="C35" s="8" t="s">
        <v>157</v>
      </c>
      <c r="D35" s="8" t="s">
        <v>50</v>
      </c>
      <c r="E35" s="29"/>
      <c r="F35" s="16"/>
      <c r="G35" s="14"/>
      <c r="H35" s="16">
        <v>5000</v>
      </c>
      <c r="I35" s="14">
        <f t="shared" si="1"/>
        <v>52.63157894736842</v>
      </c>
    </row>
    <row r="36" spans="1:9" ht="15" customHeight="1" thickBot="1">
      <c r="A36" s="3"/>
      <c r="B36" s="263">
        <v>4.2</v>
      </c>
      <c r="C36" s="181" t="s">
        <v>131</v>
      </c>
      <c r="D36" s="181" t="s">
        <v>50</v>
      </c>
      <c r="E36" s="29"/>
      <c r="F36" s="12"/>
      <c r="G36" s="14"/>
      <c r="H36" s="12"/>
      <c r="I36" s="14"/>
    </row>
    <row r="37" spans="1:9" ht="15" customHeight="1" thickBot="1">
      <c r="A37" s="3"/>
      <c r="B37" s="272">
        <v>4.21</v>
      </c>
      <c r="C37" s="8" t="s">
        <v>39</v>
      </c>
      <c r="D37" s="8" t="s">
        <v>50</v>
      </c>
      <c r="E37" s="29"/>
      <c r="F37" s="16"/>
      <c r="G37" s="14"/>
      <c r="H37" s="16">
        <v>5000</v>
      </c>
      <c r="I37" s="14">
        <f t="shared" si="1"/>
        <v>52.63157894736842</v>
      </c>
    </row>
    <row r="38" spans="1:9" ht="15" customHeight="1" thickBot="1">
      <c r="A38" s="3"/>
      <c r="B38" s="13">
        <v>4.22</v>
      </c>
      <c r="C38" s="8" t="s">
        <v>41</v>
      </c>
      <c r="D38" s="8" t="s">
        <v>50</v>
      </c>
      <c r="E38" s="29"/>
      <c r="F38" s="16"/>
      <c r="G38" s="14"/>
      <c r="H38" s="16">
        <v>5000</v>
      </c>
      <c r="I38" s="14">
        <f t="shared" si="1"/>
        <v>52.63157894736842</v>
      </c>
    </row>
    <row r="39" spans="1:9" ht="15" customHeight="1" thickBot="1">
      <c r="A39" s="3"/>
      <c r="B39" s="13">
        <v>4.23</v>
      </c>
      <c r="C39" s="8" t="s">
        <v>42</v>
      </c>
      <c r="D39" s="8" t="s">
        <v>50</v>
      </c>
      <c r="E39" s="29"/>
      <c r="F39" s="16"/>
      <c r="G39" s="14"/>
      <c r="H39" s="16">
        <v>1000</v>
      </c>
      <c r="I39" s="14">
        <f t="shared" si="1"/>
        <v>10.526315789473685</v>
      </c>
    </row>
    <row r="40" spans="1:9" ht="15" customHeight="1" thickBot="1">
      <c r="A40" s="3"/>
      <c r="B40" s="13">
        <v>4.24</v>
      </c>
      <c r="C40" s="8" t="s">
        <v>3</v>
      </c>
      <c r="D40" s="8" t="s">
        <v>50</v>
      </c>
      <c r="E40" s="29"/>
      <c r="F40" s="16"/>
      <c r="G40" s="14"/>
      <c r="H40" s="16">
        <v>5000</v>
      </c>
      <c r="I40" s="14">
        <f t="shared" si="1"/>
        <v>52.63157894736842</v>
      </c>
    </row>
    <row r="41" spans="1:9" ht="15" customHeight="1" thickBot="1">
      <c r="A41" s="3"/>
      <c r="B41" s="21"/>
      <c r="C41" s="18" t="s">
        <v>28</v>
      </c>
      <c r="D41" s="22"/>
      <c r="E41" s="31"/>
      <c r="F41" s="31"/>
      <c r="G41" s="20"/>
      <c r="H41" s="53">
        <f>SUM(H30:H40)</f>
        <v>48000</v>
      </c>
      <c r="I41" s="133">
        <f>SUM(I30:I40)</f>
        <v>505.26315789473693</v>
      </c>
    </row>
    <row r="42" spans="1:9" ht="15" customHeight="1" thickBot="1">
      <c r="A42" s="3"/>
      <c r="B42" s="9">
        <v>5</v>
      </c>
      <c r="C42" s="11" t="s">
        <v>29</v>
      </c>
      <c r="D42" s="57"/>
      <c r="E42" s="377"/>
      <c r="F42" s="277"/>
      <c r="G42" s="183"/>
      <c r="H42" s="183"/>
      <c r="I42" s="378"/>
    </row>
    <row r="43" spans="1:9" ht="15" customHeight="1" thickBot="1">
      <c r="A43" s="3"/>
      <c r="B43" s="17">
        <v>5.1</v>
      </c>
      <c r="C43" s="8" t="s">
        <v>0</v>
      </c>
      <c r="D43" s="8" t="s">
        <v>155</v>
      </c>
      <c r="E43" s="29">
        <v>1</v>
      </c>
      <c r="F43" s="15">
        <v>200000</v>
      </c>
      <c r="G43" s="14">
        <f>+F43/95</f>
        <v>2105.2631578947367</v>
      </c>
      <c r="H43" s="36">
        <v>200000</v>
      </c>
      <c r="I43" s="14">
        <f>+H43/95</f>
        <v>2105.2631578947367</v>
      </c>
    </row>
    <row r="44" spans="1:9" ht="15" customHeight="1" thickBot="1">
      <c r="A44" s="3"/>
      <c r="B44" s="21"/>
      <c r="C44" s="18" t="s">
        <v>32</v>
      </c>
      <c r="D44" s="18"/>
      <c r="E44" s="31"/>
      <c r="F44" s="20"/>
      <c r="G44" s="22"/>
      <c r="H44" s="55">
        <v>200000</v>
      </c>
      <c r="I44" s="54">
        <f>+I43</f>
        <v>2105.2631578947367</v>
      </c>
    </row>
    <row r="45" spans="1:9" ht="15" customHeight="1" thickBot="1">
      <c r="A45" s="3"/>
      <c r="B45" s="9">
        <v>6</v>
      </c>
      <c r="C45" s="11" t="s">
        <v>33</v>
      </c>
      <c r="D45" s="57"/>
      <c r="E45" s="377"/>
      <c r="F45" s="277"/>
      <c r="G45" s="183"/>
      <c r="H45" s="183"/>
      <c r="I45" s="378"/>
    </row>
    <row r="46" spans="1:9" ht="15" customHeight="1" thickBot="1">
      <c r="A46" s="3"/>
      <c r="B46" s="17">
        <v>6.1</v>
      </c>
      <c r="C46" s="8" t="s">
        <v>146</v>
      </c>
      <c r="D46" s="8" t="s">
        <v>50</v>
      </c>
      <c r="E46" s="29">
        <v>1</v>
      </c>
      <c r="F46" s="15">
        <v>5000</v>
      </c>
      <c r="G46" s="14">
        <f>+F46/95</f>
        <v>52.63157894736842</v>
      </c>
      <c r="H46" s="15">
        <v>5000</v>
      </c>
      <c r="I46" s="14">
        <f>+H46/95</f>
        <v>52.63157894736842</v>
      </c>
    </row>
    <row r="47" spans="1:9" ht="15" customHeight="1" thickBot="1">
      <c r="A47" s="3"/>
      <c r="B47" s="21"/>
      <c r="C47" s="18" t="s">
        <v>34</v>
      </c>
      <c r="D47" s="22"/>
      <c r="E47" s="31"/>
      <c r="F47" s="20"/>
      <c r="G47" s="20"/>
      <c r="H47" s="134">
        <f>H46</f>
        <v>5000</v>
      </c>
      <c r="I47" s="133">
        <f>+I46</f>
        <v>52.63157894736842</v>
      </c>
    </row>
    <row r="48" spans="1:9" ht="15" customHeight="1" thickBot="1">
      <c r="A48" s="3"/>
      <c r="B48" s="293">
        <v>7</v>
      </c>
      <c r="C48" s="294" t="s">
        <v>35</v>
      </c>
      <c r="D48" s="379"/>
      <c r="E48" s="377"/>
      <c r="F48" s="277"/>
      <c r="G48" s="183"/>
      <c r="H48" s="183"/>
      <c r="I48" s="378"/>
    </row>
    <row r="49" spans="1:9" ht="15" customHeight="1" thickBot="1">
      <c r="A49" s="3"/>
      <c r="B49" s="295">
        <v>7.1</v>
      </c>
      <c r="C49" s="273" t="s">
        <v>94</v>
      </c>
      <c r="D49" s="273" t="s">
        <v>136</v>
      </c>
      <c r="E49" s="29">
        <v>1</v>
      </c>
      <c r="F49" s="15">
        <f>450000*0.05</f>
        <v>22500</v>
      </c>
      <c r="G49" s="14">
        <f>+F49/95</f>
        <v>236.8421052631579</v>
      </c>
      <c r="H49" s="36">
        <f>+F49</f>
        <v>22500</v>
      </c>
      <c r="I49" s="14">
        <f>+G49</f>
        <v>236.8421052631579</v>
      </c>
    </row>
    <row r="50" spans="1:9" ht="15" customHeight="1" thickBot="1">
      <c r="A50" s="3"/>
      <c r="B50" s="272">
        <v>7.11</v>
      </c>
      <c r="C50" s="273" t="s">
        <v>95</v>
      </c>
      <c r="D50" s="273" t="s">
        <v>136</v>
      </c>
      <c r="E50" s="29">
        <v>1</v>
      </c>
      <c r="F50" s="15">
        <f>450000*0.05</f>
        <v>22500</v>
      </c>
      <c r="G50" s="14">
        <f>+F50/95</f>
        <v>236.8421052631579</v>
      </c>
      <c r="H50" s="36">
        <f>+F50</f>
        <v>22500</v>
      </c>
      <c r="I50" s="14">
        <f>+G50</f>
        <v>236.8421052631579</v>
      </c>
    </row>
    <row r="51" spans="1:9" ht="15" customHeight="1" thickBot="1">
      <c r="A51" s="3"/>
      <c r="B51" s="21"/>
      <c r="C51" s="18" t="s">
        <v>36</v>
      </c>
      <c r="D51" s="22"/>
      <c r="E51" s="31"/>
      <c r="F51" s="20"/>
      <c r="G51" s="20"/>
      <c r="H51" s="53">
        <f>SUM(H49:H50)</f>
        <v>45000</v>
      </c>
      <c r="I51" s="54">
        <f>SUM(I49:I50)</f>
        <v>473.6842105263158</v>
      </c>
    </row>
    <row r="52" spans="1:9" ht="24.75" customHeight="1" thickBot="1">
      <c r="A52" s="3"/>
      <c r="B52" s="13"/>
      <c r="C52" s="10" t="s">
        <v>37</v>
      </c>
      <c r="D52" s="8"/>
      <c r="E52" s="29"/>
      <c r="F52" s="12"/>
      <c r="G52" s="8"/>
      <c r="H52" s="380">
        <f>+H51+H47+H44+H41+H24+H21</f>
        <v>495000</v>
      </c>
      <c r="I52" s="292">
        <f>+I51+I47+I44+I41+I24+I21</f>
        <v>5210.526315789473</v>
      </c>
    </row>
  </sheetData>
  <sheetProtection/>
  <mergeCells count="6">
    <mergeCell ref="F5:G5"/>
    <mergeCell ref="H5:I5"/>
    <mergeCell ref="D4:F4"/>
    <mergeCell ref="B2:I2"/>
    <mergeCell ref="B3:C3"/>
    <mergeCell ref="B4:C4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"/>
  <sheetViews>
    <sheetView showGridLines="0" zoomScalePageLayoutView="0" workbookViewId="0" topLeftCell="A1">
      <selection activeCell="C63" sqref="C63"/>
    </sheetView>
  </sheetViews>
  <sheetFormatPr defaultColWidth="9.140625" defaultRowHeight="15"/>
  <cols>
    <col min="1" max="1" width="3.28125" style="3" customWidth="1"/>
    <col min="2" max="2" width="5.421875" style="3" customWidth="1"/>
    <col min="3" max="3" width="31.421875" style="3" customWidth="1"/>
    <col min="4" max="4" width="15.421875" style="3" customWidth="1"/>
    <col min="5" max="5" width="7.7109375" style="93" bestFit="1" customWidth="1"/>
    <col min="6" max="6" width="10.7109375" style="3" customWidth="1"/>
    <col min="7" max="7" width="10.7109375" style="94" customWidth="1"/>
    <col min="8" max="8" width="10.7109375" style="3" customWidth="1"/>
    <col min="9" max="9" width="10.7109375" style="94" customWidth="1"/>
    <col min="10" max="11" width="11.57421875" style="3" bestFit="1" customWidth="1"/>
    <col min="12" max="15" width="9.140625" style="3" customWidth="1"/>
    <col min="16" max="16" width="11.57421875" style="3" bestFit="1" customWidth="1"/>
    <col min="17" max="16384" width="9.140625" style="3" customWidth="1"/>
  </cols>
  <sheetData>
    <row r="1" ht="15" customHeight="1" thickBot="1"/>
    <row r="2" spans="1:9" ht="15" customHeight="1" thickBot="1">
      <c r="A2" s="2"/>
      <c r="B2" s="256" t="s">
        <v>199</v>
      </c>
      <c r="C2" s="257"/>
      <c r="D2" s="257"/>
      <c r="E2" s="257"/>
      <c r="F2" s="257"/>
      <c r="G2" s="257"/>
      <c r="H2" s="257"/>
      <c r="I2" s="258"/>
    </row>
    <row r="3" spans="2:9" ht="15" customHeight="1">
      <c r="B3" s="222" t="s">
        <v>5</v>
      </c>
      <c r="C3" s="214"/>
      <c r="D3" s="179" t="s">
        <v>48</v>
      </c>
      <c r="E3" s="35"/>
      <c r="F3" s="33"/>
      <c r="G3" s="70"/>
      <c r="H3" s="33"/>
      <c r="I3" s="135"/>
    </row>
    <row r="4" spans="2:9" ht="15" customHeight="1" thickBot="1">
      <c r="B4" s="222" t="s">
        <v>6</v>
      </c>
      <c r="C4" s="214"/>
      <c r="D4" s="259" t="s">
        <v>184</v>
      </c>
      <c r="E4" s="214"/>
      <c r="F4" s="129"/>
      <c r="G4" s="71"/>
      <c r="H4" s="33"/>
      <c r="I4" s="135"/>
    </row>
    <row r="5" spans="2:9" ht="15" customHeight="1" thickBot="1">
      <c r="B5" s="96"/>
      <c r="C5" s="206" t="s">
        <v>8</v>
      </c>
      <c r="D5" s="96" t="s">
        <v>9</v>
      </c>
      <c r="E5" s="72" t="s">
        <v>10</v>
      </c>
      <c r="F5" s="217" t="s">
        <v>52</v>
      </c>
      <c r="G5" s="218"/>
      <c r="H5" s="219" t="s">
        <v>116</v>
      </c>
      <c r="I5" s="219"/>
    </row>
    <row r="6" spans="2:9" ht="15" customHeight="1" thickBot="1">
      <c r="B6" s="9"/>
      <c r="C6" s="205"/>
      <c r="D6" s="283"/>
      <c r="E6" s="284"/>
      <c r="F6" s="96" t="s">
        <v>44</v>
      </c>
      <c r="G6" s="73" t="s">
        <v>46</v>
      </c>
      <c r="H6" s="96" t="s">
        <v>44</v>
      </c>
      <c r="I6" s="73" t="s">
        <v>46</v>
      </c>
    </row>
    <row r="7" spans="2:9" ht="15" customHeight="1" thickBot="1">
      <c r="B7" s="9">
        <v>1</v>
      </c>
      <c r="C7" s="11" t="s">
        <v>12</v>
      </c>
      <c r="D7" s="57"/>
      <c r="E7" s="277"/>
      <c r="F7" s="183"/>
      <c r="G7" s="278"/>
      <c r="H7" s="183"/>
      <c r="I7" s="279"/>
    </row>
    <row r="8" spans="2:9" ht="15" customHeight="1" thickBot="1">
      <c r="B8" s="17">
        <v>1.1</v>
      </c>
      <c r="C8" s="11" t="s">
        <v>13</v>
      </c>
      <c r="D8" s="280"/>
      <c r="E8" s="281"/>
      <c r="F8" s="7"/>
      <c r="G8" s="282"/>
      <c r="H8" s="7"/>
      <c r="I8" s="74"/>
    </row>
    <row r="9" spans="2:9" ht="15" customHeight="1" thickBot="1">
      <c r="B9" s="17">
        <v>1.11</v>
      </c>
      <c r="C9" s="8" t="s">
        <v>108</v>
      </c>
      <c r="D9" s="8" t="s">
        <v>14</v>
      </c>
      <c r="E9" s="12">
        <v>1</v>
      </c>
      <c r="F9" s="75">
        <v>50000</v>
      </c>
      <c r="G9" s="76">
        <f>+F9/95</f>
        <v>526.3157894736842</v>
      </c>
      <c r="H9" s="77">
        <f>+F9*E9</f>
        <v>50000</v>
      </c>
      <c r="I9" s="76">
        <f>+G9*E9</f>
        <v>526.3157894736842</v>
      </c>
    </row>
    <row r="10" spans="2:9" ht="15" customHeight="1" thickBot="1">
      <c r="B10" s="17">
        <v>1.12</v>
      </c>
      <c r="C10" s="8" t="s">
        <v>109</v>
      </c>
      <c r="D10" s="8" t="s">
        <v>14</v>
      </c>
      <c r="E10" s="12">
        <v>1</v>
      </c>
      <c r="F10" s="75">
        <v>50000</v>
      </c>
      <c r="G10" s="76">
        <f>+F10/95</f>
        <v>526.3157894736842</v>
      </c>
      <c r="H10" s="77">
        <f>+F10*E10</f>
        <v>50000</v>
      </c>
      <c r="I10" s="76">
        <f>+G10*E10</f>
        <v>526.3157894736842</v>
      </c>
    </row>
    <row r="11" spans="2:9" ht="15" customHeight="1" thickBot="1">
      <c r="B11" s="17">
        <v>1.1300000000000001</v>
      </c>
      <c r="C11" s="8" t="s">
        <v>107</v>
      </c>
      <c r="D11" s="8" t="s">
        <v>14</v>
      </c>
      <c r="E11" s="12">
        <v>4</v>
      </c>
      <c r="F11" s="75">
        <v>15000</v>
      </c>
      <c r="G11" s="76">
        <f aca="true" t="shared" si="0" ref="G11:G17">+F11/95</f>
        <v>157.89473684210526</v>
      </c>
      <c r="H11" s="77">
        <f aca="true" t="shared" si="1" ref="H11:H17">+F11*E11</f>
        <v>60000</v>
      </c>
      <c r="I11" s="76">
        <f aca="true" t="shared" si="2" ref="I11:I17">+G11*E11</f>
        <v>631.578947368421</v>
      </c>
    </row>
    <row r="12" spans="2:9" ht="15" customHeight="1" thickBot="1">
      <c r="B12" s="17">
        <v>1.1400000000000001</v>
      </c>
      <c r="C12" s="24" t="s">
        <v>76</v>
      </c>
      <c r="D12" s="8" t="s">
        <v>14</v>
      </c>
      <c r="E12" s="12">
        <v>4</v>
      </c>
      <c r="F12" s="75">
        <v>13000</v>
      </c>
      <c r="G12" s="76">
        <f t="shared" si="0"/>
        <v>136.8421052631579</v>
      </c>
      <c r="H12" s="77">
        <f t="shared" si="1"/>
        <v>52000</v>
      </c>
      <c r="I12" s="76">
        <f t="shared" si="2"/>
        <v>547.3684210526316</v>
      </c>
    </row>
    <row r="13" spans="2:9" ht="15" customHeight="1" thickBot="1">
      <c r="B13" s="17">
        <v>1.1500000000000001</v>
      </c>
      <c r="C13" s="24" t="s">
        <v>77</v>
      </c>
      <c r="D13" s="8" t="s">
        <v>14</v>
      </c>
      <c r="E13" s="12">
        <v>1</v>
      </c>
      <c r="F13" s="75">
        <v>8000.000000000001</v>
      </c>
      <c r="G13" s="76">
        <f t="shared" si="0"/>
        <v>84.21052631578948</v>
      </c>
      <c r="H13" s="77">
        <f t="shared" si="1"/>
        <v>8000.000000000001</v>
      </c>
      <c r="I13" s="76">
        <f t="shared" si="2"/>
        <v>84.21052631578948</v>
      </c>
    </row>
    <row r="14" spans="2:9" ht="15" customHeight="1" thickBot="1">
      <c r="B14" s="17">
        <v>1.1600000000000001</v>
      </c>
      <c r="C14" s="78" t="s">
        <v>121</v>
      </c>
      <c r="D14" s="8" t="s">
        <v>14</v>
      </c>
      <c r="E14" s="12">
        <v>1</v>
      </c>
      <c r="F14" s="75">
        <v>8000.000000000001</v>
      </c>
      <c r="G14" s="76">
        <f t="shared" si="0"/>
        <v>84.21052631578948</v>
      </c>
      <c r="H14" s="77">
        <f t="shared" si="1"/>
        <v>8000.000000000001</v>
      </c>
      <c r="I14" s="76">
        <f t="shared" si="2"/>
        <v>84.21052631578948</v>
      </c>
    </row>
    <row r="15" spans="2:9" ht="15" customHeight="1" thickBot="1">
      <c r="B15" s="17">
        <v>1.1700000000000002</v>
      </c>
      <c r="C15" s="78" t="s">
        <v>78</v>
      </c>
      <c r="D15" s="8" t="s">
        <v>14</v>
      </c>
      <c r="E15" s="12">
        <v>1</v>
      </c>
      <c r="F15" s="75">
        <v>7000.000000000001</v>
      </c>
      <c r="G15" s="76">
        <f t="shared" si="0"/>
        <v>73.6842105263158</v>
      </c>
      <c r="H15" s="77">
        <f t="shared" si="1"/>
        <v>7000.000000000001</v>
      </c>
      <c r="I15" s="76">
        <f t="shared" si="2"/>
        <v>73.6842105263158</v>
      </c>
    </row>
    <row r="16" spans="2:9" ht="15" customHeight="1" thickBot="1">
      <c r="B16" s="17">
        <v>1.1800000000000002</v>
      </c>
      <c r="C16" s="24" t="s">
        <v>38</v>
      </c>
      <c r="D16" s="8" t="s">
        <v>14</v>
      </c>
      <c r="E16" s="75">
        <v>1</v>
      </c>
      <c r="F16" s="75">
        <v>10000</v>
      </c>
      <c r="G16" s="76">
        <f t="shared" si="0"/>
        <v>105.26315789473684</v>
      </c>
      <c r="H16" s="77">
        <f t="shared" si="1"/>
        <v>10000</v>
      </c>
      <c r="I16" s="76">
        <f t="shared" si="2"/>
        <v>105.26315789473684</v>
      </c>
    </row>
    <row r="17" spans="2:9" ht="15" customHeight="1" thickBot="1">
      <c r="B17" s="17">
        <v>1.1900000000000002</v>
      </c>
      <c r="C17" s="57" t="s">
        <v>122</v>
      </c>
      <c r="D17" s="24" t="s">
        <v>14</v>
      </c>
      <c r="E17" s="75">
        <v>1</v>
      </c>
      <c r="F17" s="75">
        <v>10000</v>
      </c>
      <c r="G17" s="76">
        <f t="shared" si="0"/>
        <v>105.26315789473684</v>
      </c>
      <c r="H17" s="77">
        <f t="shared" si="1"/>
        <v>10000</v>
      </c>
      <c r="I17" s="76">
        <f t="shared" si="2"/>
        <v>105.26315789473684</v>
      </c>
    </row>
    <row r="18" spans="2:9" ht="15" customHeight="1" thickBot="1">
      <c r="B18" s="13"/>
      <c r="C18" s="220" t="s">
        <v>79</v>
      </c>
      <c r="D18" s="213"/>
      <c r="E18" s="221"/>
      <c r="F18" s="84"/>
      <c r="G18" s="276"/>
      <c r="H18" s="79">
        <f>SUM(H9:H17)</f>
        <v>255000</v>
      </c>
      <c r="I18" s="80">
        <f>SUM(I9:I17)</f>
        <v>2684.210526315789</v>
      </c>
    </row>
    <row r="19" spans="2:9" ht="5.25" customHeight="1" thickBot="1">
      <c r="B19" s="13"/>
      <c r="C19" s="84"/>
      <c r="D19" s="203"/>
      <c r="E19" s="84"/>
      <c r="F19" s="84"/>
      <c r="G19" s="274"/>
      <c r="H19" s="285"/>
      <c r="I19" s="80"/>
    </row>
    <row r="20" spans="2:9" ht="15" customHeight="1" thickBot="1">
      <c r="B20" s="13"/>
      <c r="C20" s="58" t="s">
        <v>16</v>
      </c>
      <c r="D20" s="183"/>
      <c r="E20" s="277"/>
      <c r="F20" s="277"/>
      <c r="G20" s="274"/>
      <c r="H20" s="275"/>
      <c r="I20" s="276"/>
    </row>
    <row r="21" spans="2:9" ht="15" customHeight="1" thickBot="1">
      <c r="B21" s="17">
        <v>1.2</v>
      </c>
      <c r="C21" s="8" t="s">
        <v>80</v>
      </c>
      <c r="D21" s="8" t="s">
        <v>14</v>
      </c>
      <c r="E21" s="12">
        <v>1</v>
      </c>
      <c r="F21" s="75">
        <v>18000</v>
      </c>
      <c r="G21" s="76">
        <f>+F21/95</f>
        <v>189.47368421052633</v>
      </c>
      <c r="H21" s="77">
        <f aca="true" t="shared" si="3" ref="H21:H27">+F21*E21</f>
        <v>18000</v>
      </c>
      <c r="I21" s="76">
        <f aca="true" t="shared" si="4" ref="I21:I27">+G21*E21</f>
        <v>189.47368421052633</v>
      </c>
    </row>
    <row r="22" spans="2:9" ht="15" customHeight="1" thickBot="1">
      <c r="B22" s="263">
        <v>1.21</v>
      </c>
      <c r="C22" s="264" t="s">
        <v>123</v>
      </c>
      <c r="D22" s="8"/>
      <c r="E22" s="12"/>
      <c r="F22" s="75"/>
      <c r="G22" s="76"/>
      <c r="H22" s="77"/>
      <c r="I22" s="76"/>
    </row>
    <row r="23" spans="2:9" ht="15" customHeight="1" thickBot="1">
      <c r="B23" s="17">
        <v>1.22</v>
      </c>
      <c r="C23" s="24" t="s">
        <v>81</v>
      </c>
      <c r="D23" s="8" t="s">
        <v>14</v>
      </c>
      <c r="E23" s="12">
        <v>1</v>
      </c>
      <c r="F23" s="75">
        <v>14999.99999999999</v>
      </c>
      <c r="G23" s="76">
        <f>+F23/95</f>
        <v>157.89473684210517</v>
      </c>
      <c r="H23" s="77">
        <f t="shared" si="3"/>
        <v>14999.99999999999</v>
      </c>
      <c r="I23" s="76">
        <f t="shared" si="4"/>
        <v>157.89473684210517</v>
      </c>
    </row>
    <row r="24" spans="2:9" ht="15" customHeight="1" thickBot="1">
      <c r="B24" s="17">
        <v>1.23</v>
      </c>
      <c r="C24" s="8" t="s">
        <v>82</v>
      </c>
      <c r="D24" s="8" t="s">
        <v>14</v>
      </c>
      <c r="E24" s="12">
        <v>2</v>
      </c>
      <c r="F24" s="75">
        <v>7000</v>
      </c>
      <c r="G24" s="76">
        <f>+F24/95</f>
        <v>73.6842105263158</v>
      </c>
      <c r="H24" s="77">
        <f t="shared" si="3"/>
        <v>14000</v>
      </c>
      <c r="I24" s="76">
        <f t="shared" si="4"/>
        <v>147.3684210526316</v>
      </c>
    </row>
    <row r="25" spans="2:9" ht="15" customHeight="1" thickBot="1">
      <c r="B25" s="17">
        <v>1.24</v>
      </c>
      <c r="C25" s="8" t="s">
        <v>83</v>
      </c>
      <c r="D25" s="8" t="s">
        <v>14</v>
      </c>
      <c r="E25" s="12">
        <v>2</v>
      </c>
      <c r="F25" s="75">
        <v>7000</v>
      </c>
      <c r="G25" s="76">
        <f>+F25/95</f>
        <v>73.6842105263158</v>
      </c>
      <c r="H25" s="77">
        <f t="shared" si="3"/>
        <v>14000</v>
      </c>
      <c r="I25" s="76">
        <f t="shared" si="4"/>
        <v>147.3684210526316</v>
      </c>
    </row>
    <row r="26" spans="2:9" ht="15" customHeight="1" thickBot="1">
      <c r="B26" s="17">
        <v>1.25</v>
      </c>
      <c r="C26" s="24" t="s">
        <v>84</v>
      </c>
      <c r="D26" s="8" t="s">
        <v>14</v>
      </c>
      <c r="E26" s="12">
        <v>1</v>
      </c>
      <c r="F26" s="75">
        <v>7000</v>
      </c>
      <c r="G26" s="76">
        <f>+F26/95</f>
        <v>73.6842105263158</v>
      </c>
      <c r="H26" s="77">
        <f t="shared" si="3"/>
        <v>7000</v>
      </c>
      <c r="I26" s="76">
        <f t="shared" si="4"/>
        <v>73.6842105263158</v>
      </c>
    </row>
    <row r="27" spans="2:9" ht="15" customHeight="1" thickBot="1">
      <c r="B27" s="17">
        <v>1.26</v>
      </c>
      <c r="C27" s="8" t="s">
        <v>85</v>
      </c>
      <c r="D27" s="8" t="s">
        <v>14</v>
      </c>
      <c r="E27" s="12">
        <v>3</v>
      </c>
      <c r="F27" s="75">
        <v>7000</v>
      </c>
      <c r="G27" s="76">
        <f>+F27/95</f>
        <v>73.6842105263158</v>
      </c>
      <c r="H27" s="77">
        <f t="shared" si="3"/>
        <v>21000</v>
      </c>
      <c r="I27" s="76">
        <f t="shared" si="4"/>
        <v>221.0526315789474</v>
      </c>
    </row>
    <row r="28" spans="2:9" ht="15" customHeight="1" thickBot="1">
      <c r="B28" s="13"/>
      <c r="C28" s="220" t="s">
        <v>86</v>
      </c>
      <c r="D28" s="213"/>
      <c r="E28" s="213"/>
      <c r="F28" s="84"/>
      <c r="G28" s="276"/>
      <c r="H28" s="79">
        <f>SUM(H21:H27)</f>
        <v>89000</v>
      </c>
      <c r="I28" s="80">
        <f>SUM(I21:I27)</f>
        <v>936.8421052631579</v>
      </c>
    </row>
    <row r="29" spans="2:9" ht="15" customHeight="1" thickBot="1">
      <c r="B29" s="62"/>
      <c r="C29" s="215" t="s">
        <v>87</v>
      </c>
      <c r="D29" s="216"/>
      <c r="E29" s="216"/>
      <c r="F29" s="81"/>
      <c r="G29" s="82"/>
      <c r="H29" s="83">
        <f>+H28+H18</f>
        <v>344000</v>
      </c>
      <c r="I29" s="117">
        <f>+I28+I18</f>
        <v>3621.052631578947</v>
      </c>
    </row>
    <row r="30" spans="2:9" ht="15" customHeight="1" thickBot="1">
      <c r="B30" s="9">
        <v>4</v>
      </c>
      <c r="C30" s="11" t="s">
        <v>23</v>
      </c>
      <c r="D30" s="57"/>
      <c r="E30" s="277"/>
      <c r="F30" s="277"/>
      <c r="G30" s="274"/>
      <c r="H30" s="275"/>
      <c r="I30" s="276"/>
    </row>
    <row r="31" spans="2:9" ht="15" customHeight="1" thickBot="1">
      <c r="B31" s="263">
        <v>4.1</v>
      </c>
      <c r="C31" s="264" t="s">
        <v>51</v>
      </c>
      <c r="D31" s="264" t="s">
        <v>14</v>
      </c>
      <c r="E31" s="267"/>
      <c r="F31" s="268"/>
      <c r="G31" s="269"/>
      <c r="H31" s="270"/>
      <c r="I31" s="269"/>
    </row>
    <row r="32" spans="2:9" ht="15" customHeight="1" thickBot="1">
      <c r="B32" s="272">
        <v>4.11</v>
      </c>
      <c r="C32" s="273" t="s">
        <v>24</v>
      </c>
      <c r="D32" s="273" t="s">
        <v>14</v>
      </c>
      <c r="E32" s="267"/>
      <c r="F32" s="271"/>
      <c r="G32" s="269"/>
      <c r="H32" s="270"/>
      <c r="I32" s="269"/>
    </row>
    <row r="33" spans="2:9" ht="15" customHeight="1" thickBot="1">
      <c r="B33" s="265">
        <v>4.12</v>
      </c>
      <c r="C33" s="264" t="s">
        <v>25</v>
      </c>
      <c r="D33" s="264" t="s">
        <v>14</v>
      </c>
      <c r="E33" s="267"/>
      <c r="F33" s="268"/>
      <c r="G33" s="269"/>
      <c r="H33" s="270"/>
      <c r="I33" s="269"/>
    </row>
    <row r="34" spans="2:9" ht="15" customHeight="1" thickBot="1">
      <c r="B34" s="265">
        <v>4.13</v>
      </c>
      <c r="C34" s="264" t="s">
        <v>26</v>
      </c>
      <c r="D34" s="264" t="s">
        <v>14</v>
      </c>
      <c r="E34" s="267"/>
      <c r="F34" s="268"/>
      <c r="G34" s="269"/>
      <c r="H34" s="270"/>
      <c r="I34" s="269"/>
    </row>
    <row r="35" spans="2:9" ht="15" customHeight="1" thickBot="1">
      <c r="B35" s="13">
        <v>4.14</v>
      </c>
      <c r="C35" s="266" t="s">
        <v>126</v>
      </c>
      <c r="D35" s="8" t="s">
        <v>14</v>
      </c>
      <c r="E35" s="12">
        <v>1</v>
      </c>
      <c r="F35" s="86">
        <v>5000</v>
      </c>
      <c r="G35" s="76">
        <f>+F35/95</f>
        <v>52.63157894736842</v>
      </c>
      <c r="H35" s="77">
        <f>+F35*E35</f>
        <v>5000</v>
      </c>
      <c r="I35" s="76">
        <f>+G35*E35</f>
        <v>52.63157894736842</v>
      </c>
    </row>
    <row r="36" spans="2:9" ht="15" customHeight="1" thickBot="1">
      <c r="B36" s="265">
        <v>4.15</v>
      </c>
      <c r="C36" s="264" t="s">
        <v>2</v>
      </c>
      <c r="D36" s="264" t="s">
        <v>14</v>
      </c>
      <c r="E36" s="12"/>
      <c r="F36" s="86"/>
      <c r="G36" s="76"/>
      <c r="H36" s="77"/>
      <c r="I36" s="76"/>
    </row>
    <row r="37" spans="2:9" ht="15" customHeight="1" thickBot="1">
      <c r="B37" s="13">
        <v>4.16</v>
      </c>
      <c r="C37" s="266" t="s">
        <v>128</v>
      </c>
      <c r="D37" s="8" t="s">
        <v>14</v>
      </c>
      <c r="E37" s="12">
        <v>1</v>
      </c>
      <c r="F37" s="86">
        <v>10000</v>
      </c>
      <c r="G37" s="76">
        <f aca="true" t="shared" si="5" ref="G37:G43">+F37/95</f>
        <v>105.26315789473684</v>
      </c>
      <c r="H37" s="77">
        <f aca="true" t="shared" si="6" ref="H37:H43">+F37*E37</f>
        <v>10000</v>
      </c>
      <c r="I37" s="76">
        <f aca="true" t="shared" si="7" ref="I37:I43">+G37*E37</f>
        <v>105.26315789473684</v>
      </c>
    </row>
    <row r="38" spans="2:9" ht="15" customHeight="1" thickBot="1">
      <c r="B38" s="265">
        <v>4.17</v>
      </c>
      <c r="C38" s="264" t="s">
        <v>156</v>
      </c>
      <c r="D38" s="8" t="s">
        <v>22</v>
      </c>
      <c r="E38" s="12"/>
      <c r="F38" s="86"/>
      <c r="G38" s="76"/>
      <c r="H38" s="77"/>
      <c r="I38" s="76"/>
    </row>
    <row r="39" spans="2:9" ht="15" customHeight="1" thickBot="1">
      <c r="B39" s="265">
        <v>4.18</v>
      </c>
      <c r="C39" s="264" t="s">
        <v>27</v>
      </c>
      <c r="D39" s="8" t="s">
        <v>14</v>
      </c>
      <c r="E39" s="12"/>
      <c r="F39" s="86"/>
      <c r="G39" s="76"/>
      <c r="H39" s="77"/>
      <c r="I39" s="76"/>
    </row>
    <row r="40" spans="2:9" ht="15" customHeight="1" thickBot="1">
      <c r="B40" s="17">
        <v>4.19</v>
      </c>
      <c r="C40" s="266" t="s">
        <v>185</v>
      </c>
      <c r="D40" s="8" t="s">
        <v>14</v>
      </c>
      <c r="E40" s="12">
        <v>1</v>
      </c>
      <c r="F40" s="86">
        <v>10000</v>
      </c>
      <c r="G40" s="76">
        <f t="shared" si="5"/>
        <v>105.26315789473684</v>
      </c>
      <c r="H40" s="77">
        <f t="shared" si="6"/>
        <v>10000</v>
      </c>
      <c r="I40" s="76">
        <f t="shared" si="7"/>
        <v>105.26315789473684</v>
      </c>
    </row>
    <row r="41" spans="2:9" ht="15" customHeight="1" thickBot="1">
      <c r="B41" s="263">
        <v>4.2</v>
      </c>
      <c r="C41" s="264" t="s">
        <v>131</v>
      </c>
      <c r="D41" s="264" t="s">
        <v>14</v>
      </c>
      <c r="E41" s="12"/>
      <c r="F41" s="86"/>
      <c r="G41" s="76"/>
      <c r="H41" s="77"/>
      <c r="I41" s="76"/>
    </row>
    <row r="42" spans="2:9" ht="15" customHeight="1" thickBot="1">
      <c r="B42" s="13">
        <v>4.21</v>
      </c>
      <c r="C42" s="8" t="s">
        <v>39</v>
      </c>
      <c r="D42" s="8" t="s">
        <v>14</v>
      </c>
      <c r="E42" s="12">
        <v>1</v>
      </c>
      <c r="F42" s="86">
        <v>10000</v>
      </c>
      <c r="G42" s="76">
        <f t="shared" si="5"/>
        <v>105.26315789473684</v>
      </c>
      <c r="H42" s="77">
        <f t="shared" si="6"/>
        <v>10000</v>
      </c>
      <c r="I42" s="76">
        <f t="shared" si="7"/>
        <v>105.26315789473684</v>
      </c>
    </row>
    <row r="43" spans="2:9" ht="15" customHeight="1" thickBot="1">
      <c r="B43" s="13">
        <v>4.22</v>
      </c>
      <c r="C43" s="8" t="s">
        <v>75</v>
      </c>
      <c r="D43" s="8" t="s">
        <v>14</v>
      </c>
      <c r="E43" s="12">
        <v>1</v>
      </c>
      <c r="F43" s="86">
        <v>25000</v>
      </c>
      <c r="G43" s="76">
        <f t="shared" si="5"/>
        <v>263.1578947368421</v>
      </c>
      <c r="H43" s="77">
        <f t="shared" si="6"/>
        <v>25000</v>
      </c>
      <c r="I43" s="76">
        <f t="shared" si="7"/>
        <v>263.1578947368421</v>
      </c>
    </row>
    <row r="44" spans="2:9" ht="15" customHeight="1" thickBot="1">
      <c r="B44" s="265">
        <v>4.23</v>
      </c>
      <c r="C44" s="264" t="s">
        <v>42</v>
      </c>
      <c r="D44" s="264" t="s">
        <v>14</v>
      </c>
      <c r="E44" s="12"/>
      <c r="F44" s="86"/>
      <c r="G44" s="76"/>
      <c r="H44" s="77"/>
      <c r="I44" s="76"/>
    </row>
    <row r="45" spans="2:9" ht="15" customHeight="1" thickBot="1">
      <c r="B45" s="265">
        <v>4.24</v>
      </c>
      <c r="C45" s="264" t="s">
        <v>3</v>
      </c>
      <c r="D45" s="264" t="s">
        <v>14</v>
      </c>
      <c r="E45" s="12"/>
      <c r="F45" s="86"/>
      <c r="G45" s="76"/>
      <c r="H45" s="77"/>
      <c r="I45" s="76"/>
    </row>
    <row r="46" spans="2:9" ht="15" customHeight="1" thickBot="1">
      <c r="B46" s="62"/>
      <c r="C46" s="215" t="s">
        <v>89</v>
      </c>
      <c r="D46" s="216"/>
      <c r="E46" s="216"/>
      <c r="F46" s="81"/>
      <c r="G46" s="82"/>
      <c r="H46" s="83">
        <f>SUM(H34:H45)</f>
        <v>60000</v>
      </c>
      <c r="I46" s="87">
        <f>SUM(I35:I45)</f>
        <v>631.578947368421</v>
      </c>
    </row>
    <row r="47" spans="2:9" ht="15" customHeight="1" thickBot="1">
      <c r="B47" s="9">
        <v>5</v>
      </c>
      <c r="C47" s="11" t="s">
        <v>29</v>
      </c>
      <c r="D47" s="57"/>
      <c r="E47" s="277"/>
      <c r="F47" s="183"/>
      <c r="G47" s="274"/>
      <c r="H47" s="275"/>
      <c r="I47" s="276"/>
    </row>
    <row r="48" spans="2:9" ht="15" customHeight="1" thickBot="1">
      <c r="B48" s="17">
        <v>5.1</v>
      </c>
      <c r="C48" s="8" t="s">
        <v>90</v>
      </c>
      <c r="D48" s="8" t="s">
        <v>14</v>
      </c>
      <c r="E48" s="12">
        <v>1</v>
      </c>
      <c r="F48" s="86">
        <v>450000</v>
      </c>
      <c r="G48" s="76">
        <f>+F48/95</f>
        <v>4736.8421052631575</v>
      </c>
      <c r="H48" s="77">
        <f>+F48*E48</f>
        <v>450000</v>
      </c>
      <c r="I48" s="76">
        <f>+G48*E48</f>
        <v>4736.8421052631575</v>
      </c>
    </row>
    <row r="49" spans="2:9" ht="15" customHeight="1" thickBot="1">
      <c r="B49" s="265">
        <v>5.11</v>
      </c>
      <c r="C49" s="264" t="s">
        <v>40</v>
      </c>
      <c r="D49" s="264" t="s">
        <v>14</v>
      </c>
      <c r="E49" s="12"/>
      <c r="F49" s="85"/>
      <c r="G49" s="76"/>
      <c r="H49" s="77"/>
      <c r="I49" s="76"/>
    </row>
    <row r="50" spans="2:9" ht="15" customHeight="1" thickBot="1">
      <c r="B50" s="265">
        <v>5.12</v>
      </c>
      <c r="C50" s="264" t="s">
        <v>30</v>
      </c>
      <c r="D50" s="264" t="s">
        <v>31</v>
      </c>
      <c r="E50" s="12"/>
      <c r="F50" s="85"/>
      <c r="G50" s="76"/>
      <c r="H50" s="77"/>
      <c r="I50" s="76"/>
    </row>
    <row r="51" spans="2:9" ht="15" customHeight="1" thickBot="1">
      <c r="B51" s="62"/>
      <c r="C51" s="63" t="s">
        <v>91</v>
      </c>
      <c r="D51" s="63"/>
      <c r="E51" s="88"/>
      <c r="F51" s="89"/>
      <c r="G51" s="82"/>
      <c r="H51" s="83">
        <f>SUM(H48:H50)</f>
        <v>450000</v>
      </c>
      <c r="I51" s="87">
        <f>+I48</f>
        <v>4736.8421052631575</v>
      </c>
    </row>
    <row r="52" spans="2:9" ht="15" customHeight="1" thickBot="1">
      <c r="B52" s="9">
        <v>6</v>
      </c>
      <c r="C52" s="11" t="s">
        <v>33</v>
      </c>
      <c r="D52" s="57"/>
      <c r="E52" s="277"/>
      <c r="F52" s="183"/>
      <c r="G52" s="274"/>
      <c r="H52" s="275"/>
      <c r="I52" s="276"/>
    </row>
    <row r="53" spans="2:9" ht="15" customHeight="1" thickBot="1">
      <c r="B53" s="17">
        <v>6.1</v>
      </c>
      <c r="C53" s="266" t="s">
        <v>186</v>
      </c>
      <c r="D53" s="8" t="s">
        <v>92</v>
      </c>
      <c r="E53" s="12">
        <v>1</v>
      </c>
      <c r="F53" s="86">
        <v>20000</v>
      </c>
      <c r="G53" s="76">
        <f>+F53/95</f>
        <v>210.52631578947367</v>
      </c>
      <c r="H53" s="77">
        <f>+F53</f>
        <v>20000</v>
      </c>
      <c r="I53" s="76">
        <f>+G53</f>
        <v>210.52631578947367</v>
      </c>
    </row>
    <row r="54" spans="2:9" ht="15" customHeight="1" thickBot="1">
      <c r="B54" s="62"/>
      <c r="C54" s="63" t="s">
        <v>93</v>
      </c>
      <c r="D54" s="90"/>
      <c r="E54" s="88"/>
      <c r="F54" s="88"/>
      <c r="G54" s="82"/>
      <c r="H54" s="260">
        <f>+H53</f>
        <v>20000</v>
      </c>
      <c r="I54" s="261">
        <f>+I53</f>
        <v>210.52631578947367</v>
      </c>
    </row>
    <row r="55" spans="2:9" ht="15" customHeight="1" thickBot="1">
      <c r="B55" s="9">
        <v>7</v>
      </c>
      <c r="C55" s="11" t="s">
        <v>35</v>
      </c>
      <c r="D55" s="57"/>
      <c r="E55" s="277"/>
      <c r="F55" s="183"/>
      <c r="G55" s="274"/>
      <c r="H55" s="275"/>
      <c r="I55" s="276"/>
    </row>
    <row r="56" spans="2:9" ht="15" customHeight="1" thickBot="1">
      <c r="B56" s="295">
        <v>7.1</v>
      </c>
      <c r="C56" s="8" t="s">
        <v>94</v>
      </c>
      <c r="D56" s="8" t="s">
        <v>50</v>
      </c>
      <c r="E56" s="12">
        <v>1</v>
      </c>
      <c r="F56" s="91">
        <v>43700</v>
      </c>
      <c r="G56" s="76">
        <f>+F56/95</f>
        <v>460</v>
      </c>
      <c r="H56" s="77">
        <v>43700</v>
      </c>
      <c r="I56" s="76">
        <f>+H56/95</f>
        <v>460</v>
      </c>
    </row>
    <row r="57" spans="2:9" ht="15" customHeight="1" thickBot="1">
      <c r="B57" s="272">
        <v>7.11</v>
      </c>
      <c r="C57" s="8" t="s">
        <v>95</v>
      </c>
      <c r="D57" s="8" t="s">
        <v>50</v>
      </c>
      <c r="E57" s="12">
        <v>1</v>
      </c>
      <c r="F57" s="91">
        <v>43700</v>
      </c>
      <c r="G57" s="76">
        <f>+F57/95</f>
        <v>460</v>
      </c>
      <c r="H57" s="77">
        <v>43700</v>
      </c>
      <c r="I57" s="76">
        <f>+H57/95</f>
        <v>460</v>
      </c>
    </row>
    <row r="58" spans="2:11" ht="15" customHeight="1" thickBot="1">
      <c r="B58" s="62"/>
      <c r="C58" s="63" t="s">
        <v>96</v>
      </c>
      <c r="D58" s="90"/>
      <c r="E58" s="88"/>
      <c r="F58" s="92"/>
      <c r="G58" s="82"/>
      <c r="H58" s="83">
        <f>SUM(H56:H57)</f>
        <v>87400</v>
      </c>
      <c r="I58" s="117">
        <f>SUM(I56:I57)</f>
        <v>920</v>
      </c>
      <c r="K58" s="262"/>
    </row>
    <row r="59" spans="2:11" ht="26.25" customHeight="1" thickBot="1">
      <c r="B59" s="13"/>
      <c r="C59" s="10" t="s">
        <v>37</v>
      </c>
      <c r="D59" s="8"/>
      <c r="E59" s="12"/>
      <c r="F59" s="8"/>
      <c r="G59" s="76"/>
      <c r="H59" s="79">
        <f>+H58+H54+H51+H46+H29</f>
        <v>961400</v>
      </c>
      <c r="I59" s="118">
        <f>+I58+I54+I51+I46+I29</f>
        <v>10120</v>
      </c>
      <c r="K59" s="119"/>
    </row>
    <row r="60" ht="15">
      <c r="J60" s="119"/>
    </row>
    <row r="64" ht="15">
      <c r="J64"/>
    </row>
    <row r="65" ht="15">
      <c r="L65" s="100"/>
    </row>
  </sheetData>
  <sheetProtection/>
  <mergeCells count="10">
    <mergeCell ref="B2:I2"/>
    <mergeCell ref="B3:C3"/>
    <mergeCell ref="B4:C4"/>
    <mergeCell ref="D4:E4"/>
    <mergeCell ref="C29:E29"/>
    <mergeCell ref="C46:E46"/>
    <mergeCell ref="F5:G5"/>
    <mergeCell ref="H5:I5"/>
    <mergeCell ref="C18:E18"/>
    <mergeCell ref="C28:E28"/>
  </mergeCells>
  <printOptions/>
  <pageMargins left="0.7" right="0.7" top="0.75" bottom="0.75" header="0.3" footer="0.3"/>
  <pageSetup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28125" style="3" customWidth="1"/>
    <col min="2" max="2" width="5.421875" style="3" customWidth="1"/>
    <col min="3" max="3" width="31.421875" style="3" customWidth="1"/>
    <col min="4" max="4" width="18.00390625" style="3" customWidth="1"/>
    <col min="5" max="5" width="10.140625" style="175" customWidth="1"/>
    <col min="6" max="6" width="11.140625" style="3" customWidth="1"/>
    <col min="7" max="7" width="10.7109375" style="176" customWidth="1"/>
    <col min="8" max="8" width="10.7109375" style="3" customWidth="1"/>
    <col min="9" max="9" width="10.7109375" style="176" customWidth="1"/>
    <col min="10" max="11" width="10.57421875" style="3" bestFit="1" customWidth="1"/>
    <col min="12" max="13" width="9.140625" style="3" customWidth="1"/>
    <col min="14" max="14" width="11.57421875" style="3" customWidth="1"/>
    <col min="15" max="16384" width="9.140625" style="3" customWidth="1"/>
  </cols>
  <sheetData>
    <row r="2" spans="1:9" ht="15" customHeight="1">
      <c r="A2" s="136"/>
      <c r="B2" s="352" t="s">
        <v>194</v>
      </c>
      <c r="C2" s="353"/>
      <c r="D2" s="353"/>
      <c r="E2" s="353"/>
      <c r="F2" s="353"/>
      <c r="G2" s="353"/>
      <c r="H2" s="353"/>
      <c r="I2" s="354"/>
    </row>
    <row r="3" spans="2:9" ht="15" customHeight="1">
      <c r="B3" s="226" t="s">
        <v>5</v>
      </c>
      <c r="C3" s="227"/>
      <c r="D3" s="351" t="s">
        <v>195</v>
      </c>
      <c r="E3" s="137"/>
      <c r="F3" s="137"/>
      <c r="G3" s="138"/>
      <c r="H3" s="137"/>
      <c r="I3" s="178"/>
    </row>
    <row r="4" spans="2:9" ht="15" customHeight="1">
      <c r="B4" s="226" t="s">
        <v>6</v>
      </c>
      <c r="C4" s="227"/>
      <c r="D4" s="228" t="s">
        <v>110</v>
      </c>
      <c r="E4" s="228"/>
      <c r="F4" s="97"/>
      <c r="G4" s="139"/>
      <c r="H4" s="137"/>
      <c r="I4" s="178"/>
    </row>
    <row r="5" spans="2:9" ht="15" customHeight="1">
      <c r="B5" s="99"/>
      <c r="C5" s="355" t="s">
        <v>8</v>
      </c>
      <c r="D5" s="99" t="s">
        <v>9</v>
      </c>
      <c r="E5" s="142" t="s">
        <v>10</v>
      </c>
      <c r="F5" s="224" t="s">
        <v>52</v>
      </c>
      <c r="G5" s="224"/>
      <c r="H5" s="224" t="s">
        <v>116</v>
      </c>
      <c r="I5" s="224"/>
    </row>
    <row r="6" spans="2:9" ht="15" customHeight="1">
      <c r="B6" s="98"/>
      <c r="C6" s="364"/>
      <c r="D6" s="355"/>
      <c r="E6" s="142"/>
      <c r="F6" s="99" t="s">
        <v>44</v>
      </c>
      <c r="G6" s="143" t="s">
        <v>46</v>
      </c>
      <c r="H6" s="99" t="s">
        <v>44</v>
      </c>
      <c r="I6" s="143" t="s">
        <v>46</v>
      </c>
    </row>
    <row r="7" spans="2:9" ht="15" customHeight="1">
      <c r="B7" s="98">
        <v>1</v>
      </c>
      <c r="C7" s="144" t="s">
        <v>12</v>
      </c>
      <c r="D7" s="357"/>
      <c r="E7" s="358"/>
      <c r="F7" s="358"/>
      <c r="G7" s="359"/>
      <c r="H7" s="360"/>
      <c r="I7" s="146"/>
    </row>
    <row r="8" spans="2:11" ht="15" customHeight="1">
      <c r="B8" s="149">
        <v>1.1</v>
      </c>
      <c r="C8" s="144" t="s">
        <v>13</v>
      </c>
      <c r="D8" s="361"/>
      <c r="E8" s="362"/>
      <c r="F8" s="362"/>
      <c r="G8" s="363"/>
      <c r="H8" s="140"/>
      <c r="I8" s="148"/>
      <c r="K8" s="4"/>
    </row>
    <row r="9" spans="2:9" ht="15" customHeight="1">
      <c r="B9" s="149">
        <v>1.11</v>
      </c>
      <c r="C9" s="150" t="s">
        <v>108</v>
      </c>
      <c r="D9" s="150" t="s">
        <v>134</v>
      </c>
      <c r="E9" s="140">
        <v>1</v>
      </c>
      <c r="F9" s="151">
        <v>50000</v>
      </c>
      <c r="G9" s="152">
        <f>+F9/95</f>
        <v>526.3157894736842</v>
      </c>
      <c r="H9" s="153">
        <f aca="true" t="shared" si="0" ref="H9:H17">+F9*E9</f>
        <v>50000</v>
      </c>
      <c r="I9" s="152">
        <f aca="true" t="shared" si="1" ref="I9:I17">+G9*E9</f>
        <v>526.3157894736842</v>
      </c>
    </row>
    <row r="10" spans="2:9" ht="15" customHeight="1">
      <c r="B10" s="149">
        <v>1.12</v>
      </c>
      <c r="C10" s="150" t="s">
        <v>111</v>
      </c>
      <c r="D10" s="150" t="s">
        <v>135</v>
      </c>
      <c r="E10" s="140">
        <v>1</v>
      </c>
      <c r="F10" s="151">
        <v>30000</v>
      </c>
      <c r="G10" s="152">
        <f aca="true" t="shared" si="2" ref="G10:G17">+F10/95</f>
        <v>315.7894736842105</v>
      </c>
      <c r="H10" s="153">
        <f t="shared" si="0"/>
        <v>30000</v>
      </c>
      <c r="I10" s="152">
        <f t="shared" si="1"/>
        <v>315.7894736842105</v>
      </c>
    </row>
    <row r="11" spans="2:9" ht="15" customHeight="1">
      <c r="B11" s="149">
        <v>1.13</v>
      </c>
      <c r="C11" s="140" t="s">
        <v>109</v>
      </c>
      <c r="D11" s="140" t="s">
        <v>50</v>
      </c>
      <c r="E11" s="140">
        <v>1</v>
      </c>
      <c r="F11" s="151">
        <v>50000</v>
      </c>
      <c r="G11" s="152">
        <f t="shared" si="2"/>
        <v>526.3157894736842</v>
      </c>
      <c r="H11" s="153">
        <f t="shared" si="0"/>
        <v>50000</v>
      </c>
      <c r="I11" s="152">
        <f t="shared" si="1"/>
        <v>526.3157894736842</v>
      </c>
    </row>
    <row r="12" spans="2:9" ht="15" customHeight="1">
      <c r="B12" s="149">
        <v>1.14</v>
      </c>
      <c r="C12" s="140" t="s">
        <v>112</v>
      </c>
      <c r="D12" s="140" t="s">
        <v>50</v>
      </c>
      <c r="E12" s="140">
        <v>3</v>
      </c>
      <c r="F12" s="151">
        <v>15000</v>
      </c>
      <c r="G12" s="152">
        <f t="shared" si="2"/>
        <v>157.89473684210526</v>
      </c>
      <c r="H12" s="153">
        <f t="shared" si="0"/>
        <v>45000</v>
      </c>
      <c r="I12" s="152">
        <f t="shared" si="1"/>
        <v>473.6842105263158</v>
      </c>
    </row>
    <row r="13" spans="2:9" ht="15" customHeight="1">
      <c r="B13" s="149">
        <v>1.15</v>
      </c>
      <c r="C13" s="140" t="s">
        <v>113</v>
      </c>
      <c r="D13" s="140" t="s">
        <v>50</v>
      </c>
      <c r="E13" s="140">
        <v>1</v>
      </c>
      <c r="F13" s="151">
        <v>20000</v>
      </c>
      <c r="G13" s="152">
        <f t="shared" si="2"/>
        <v>210.52631578947367</v>
      </c>
      <c r="H13" s="153">
        <f t="shared" si="0"/>
        <v>20000</v>
      </c>
      <c r="I13" s="152">
        <f t="shared" si="1"/>
        <v>210.52631578947367</v>
      </c>
    </row>
    <row r="14" spans="2:9" ht="15" customHeight="1">
      <c r="B14" s="149">
        <v>1.16</v>
      </c>
      <c r="C14" s="145" t="s">
        <v>76</v>
      </c>
      <c r="D14" s="140" t="s">
        <v>50</v>
      </c>
      <c r="E14" s="140">
        <v>4</v>
      </c>
      <c r="F14" s="151">
        <v>13000</v>
      </c>
      <c r="G14" s="152">
        <f t="shared" si="2"/>
        <v>136.8421052631579</v>
      </c>
      <c r="H14" s="153">
        <f t="shared" si="0"/>
        <v>52000</v>
      </c>
      <c r="I14" s="152">
        <f t="shared" si="1"/>
        <v>547.3684210526316</v>
      </c>
    </row>
    <row r="15" spans="2:9" s="48" customFormat="1" ht="15" customHeight="1">
      <c r="B15" s="149">
        <v>1.17</v>
      </c>
      <c r="C15" s="145" t="s">
        <v>77</v>
      </c>
      <c r="D15" s="140" t="s">
        <v>50</v>
      </c>
      <c r="E15" s="140">
        <v>1</v>
      </c>
      <c r="F15" s="151">
        <v>15000</v>
      </c>
      <c r="G15" s="152">
        <f t="shared" si="2"/>
        <v>157.89473684210526</v>
      </c>
      <c r="H15" s="155">
        <f t="shared" si="0"/>
        <v>15000</v>
      </c>
      <c r="I15" s="154">
        <f t="shared" si="1"/>
        <v>157.89473684210526</v>
      </c>
    </row>
    <row r="16" spans="2:9" ht="15" customHeight="1">
      <c r="B16" s="149">
        <v>1.18</v>
      </c>
      <c r="C16" s="145" t="s">
        <v>38</v>
      </c>
      <c r="D16" s="140" t="s">
        <v>50</v>
      </c>
      <c r="E16" s="140">
        <v>1</v>
      </c>
      <c r="F16" s="151">
        <v>15000</v>
      </c>
      <c r="G16" s="152">
        <f t="shared" si="2"/>
        <v>157.89473684210526</v>
      </c>
      <c r="H16" s="153">
        <f t="shared" si="0"/>
        <v>15000</v>
      </c>
      <c r="I16" s="152">
        <f t="shared" si="1"/>
        <v>157.89473684210526</v>
      </c>
    </row>
    <row r="17" spans="2:9" ht="15" customHeight="1">
      <c r="B17" s="156">
        <v>1.19</v>
      </c>
      <c r="C17" s="166" t="s">
        <v>122</v>
      </c>
      <c r="D17" s="140" t="s">
        <v>50</v>
      </c>
      <c r="E17" s="145">
        <v>1</v>
      </c>
      <c r="F17" s="157">
        <v>12000</v>
      </c>
      <c r="G17" s="152">
        <f t="shared" si="2"/>
        <v>126.3157894736842</v>
      </c>
      <c r="H17" s="188">
        <f t="shared" si="0"/>
        <v>12000</v>
      </c>
      <c r="I17" s="152">
        <f t="shared" si="1"/>
        <v>126.3157894736842</v>
      </c>
    </row>
    <row r="18" spans="2:9" ht="15" customHeight="1">
      <c r="B18" s="147"/>
      <c r="C18" s="225" t="s">
        <v>79</v>
      </c>
      <c r="D18" s="225"/>
      <c r="E18" s="225"/>
      <c r="F18" s="158"/>
      <c r="G18" s="152"/>
      <c r="H18" s="159">
        <f>SUM(H9:H17)</f>
        <v>289000</v>
      </c>
      <c r="I18" s="160">
        <f>SUM(I9:I17)</f>
        <v>3042.105263157895</v>
      </c>
    </row>
    <row r="19" spans="2:9" ht="5.25" customHeight="1">
      <c r="B19" s="147"/>
      <c r="C19" s="356"/>
      <c r="D19" s="356"/>
      <c r="E19" s="356"/>
      <c r="F19" s="368"/>
      <c r="G19" s="369"/>
      <c r="H19" s="365"/>
      <c r="I19" s="366"/>
    </row>
    <row r="20" spans="2:9" ht="15" customHeight="1">
      <c r="B20" s="147"/>
      <c r="C20" s="144" t="s">
        <v>16</v>
      </c>
      <c r="D20" s="357"/>
      <c r="E20" s="358"/>
      <c r="F20" s="370"/>
      <c r="G20" s="371"/>
      <c r="H20" s="367"/>
      <c r="I20" s="152"/>
    </row>
    <row r="21" spans="2:9" ht="15" customHeight="1">
      <c r="B21" s="149">
        <v>1.2</v>
      </c>
      <c r="C21" s="140" t="s">
        <v>80</v>
      </c>
      <c r="D21" s="140" t="s">
        <v>50</v>
      </c>
      <c r="E21" s="140">
        <v>1</v>
      </c>
      <c r="F21" s="151">
        <v>30000</v>
      </c>
      <c r="G21" s="152">
        <f aca="true" t="shared" si="3" ref="G21:G27">+F21/95</f>
        <v>315.7894736842105</v>
      </c>
      <c r="H21" s="153">
        <f aca="true" t="shared" si="4" ref="H21:H27">+F21*E21</f>
        <v>30000</v>
      </c>
      <c r="I21" s="152">
        <f aca="true" t="shared" si="5" ref="I21:I27">+G21*E21</f>
        <v>315.7894736842105</v>
      </c>
    </row>
    <row r="22" spans="2:9" ht="15" customHeight="1">
      <c r="B22" s="149">
        <v>1.21</v>
      </c>
      <c r="C22" s="140" t="s">
        <v>114</v>
      </c>
      <c r="D22" s="140" t="s">
        <v>50</v>
      </c>
      <c r="E22" s="140">
        <v>1</v>
      </c>
      <c r="F22" s="151">
        <v>12000</v>
      </c>
      <c r="G22" s="152">
        <f t="shared" si="3"/>
        <v>126.3157894736842</v>
      </c>
      <c r="H22" s="153">
        <f t="shared" si="4"/>
        <v>12000</v>
      </c>
      <c r="I22" s="152">
        <f t="shared" si="5"/>
        <v>126.3157894736842</v>
      </c>
    </row>
    <row r="23" spans="2:9" ht="15" customHeight="1">
      <c r="B23" s="149">
        <v>1.22</v>
      </c>
      <c r="C23" s="145" t="s">
        <v>81</v>
      </c>
      <c r="D23" s="140" t="s">
        <v>50</v>
      </c>
      <c r="E23" s="140">
        <v>1</v>
      </c>
      <c r="F23" s="151">
        <v>14999.99999999999</v>
      </c>
      <c r="G23" s="152">
        <f t="shared" si="3"/>
        <v>157.89473684210517</v>
      </c>
      <c r="H23" s="153">
        <f t="shared" si="4"/>
        <v>14999.99999999999</v>
      </c>
      <c r="I23" s="152">
        <f t="shared" si="5"/>
        <v>157.89473684210517</v>
      </c>
    </row>
    <row r="24" spans="2:9" ht="15" customHeight="1">
      <c r="B24" s="149">
        <v>1.23</v>
      </c>
      <c r="C24" s="150" t="s">
        <v>124</v>
      </c>
      <c r="D24" s="140" t="s">
        <v>50</v>
      </c>
      <c r="E24" s="140">
        <v>1</v>
      </c>
      <c r="F24" s="151">
        <v>7000</v>
      </c>
      <c r="G24" s="152">
        <f t="shared" si="3"/>
        <v>73.6842105263158</v>
      </c>
      <c r="H24" s="153">
        <f t="shared" si="4"/>
        <v>7000</v>
      </c>
      <c r="I24" s="152">
        <f t="shared" si="5"/>
        <v>73.6842105263158</v>
      </c>
    </row>
    <row r="25" spans="2:9" ht="15" customHeight="1">
      <c r="B25" s="149">
        <v>1.24</v>
      </c>
      <c r="C25" s="140" t="s">
        <v>83</v>
      </c>
      <c r="D25" s="140" t="s">
        <v>50</v>
      </c>
      <c r="E25" s="140">
        <v>2</v>
      </c>
      <c r="F25" s="151">
        <v>7000</v>
      </c>
      <c r="G25" s="152">
        <f t="shared" si="3"/>
        <v>73.6842105263158</v>
      </c>
      <c r="H25" s="153">
        <f t="shared" si="4"/>
        <v>14000</v>
      </c>
      <c r="I25" s="152">
        <f t="shared" si="5"/>
        <v>147.3684210526316</v>
      </c>
    </row>
    <row r="26" spans="2:9" ht="15" customHeight="1">
      <c r="B26" s="149">
        <v>1.25</v>
      </c>
      <c r="C26" s="166" t="s">
        <v>125</v>
      </c>
      <c r="D26" s="140" t="s">
        <v>50</v>
      </c>
      <c r="E26" s="140">
        <v>1</v>
      </c>
      <c r="F26" s="151">
        <v>7000</v>
      </c>
      <c r="G26" s="152">
        <f t="shared" si="3"/>
        <v>73.6842105263158</v>
      </c>
      <c r="H26" s="153">
        <f t="shared" si="4"/>
        <v>7000</v>
      </c>
      <c r="I26" s="152">
        <f t="shared" si="5"/>
        <v>73.6842105263158</v>
      </c>
    </row>
    <row r="27" spans="2:9" ht="15" customHeight="1">
      <c r="B27" s="149">
        <v>1.26</v>
      </c>
      <c r="C27" s="140" t="s">
        <v>115</v>
      </c>
      <c r="D27" s="140" t="s">
        <v>50</v>
      </c>
      <c r="E27" s="140">
        <v>2</v>
      </c>
      <c r="F27" s="151">
        <v>7000</v>
      </c>
      <c r="G27" s="152">
        <f t="shared" si="3"/>
        <v>73.6842105263158</v>
      </c>
      <c r="H27" s="153">
        <f t="shared" si="4"/>
        <v>14000</v>
      </c>
      <c r="I27" s="152">
        <f t="shared" si="5"/>
        <v>147.3684210526316</v>
      </c>
    </row>
    <row r="28" spans="2:9" ht="15" customHeight="1">
      <c r="B28" s="147"/>
      <c r="C28" s="225" t="s">
        <v>86</v>
      </c>
      <c r="D28" s="225"/>
      <c r="E28" s="225"/>
      <c r="F28" s="158"/>
      <c r="G28" s="152"/>
      <c r="H28" s="159">
        <f>SUM(H21:H27)</f>
        <v>99000</v>
      </c>
      <c r="I28" s="160">
        <f>SUM(I21:I27)</f>
        <v>1042.1052631578948</v>
      </c>
    </row>
    <row r="29" spans="2:9" ht="15" customHeight="1">
      <c r="B29" s="161"/>
      <c r="C29" s="223" t="s">
        <v>87</v>
      </c>
      <c r="D29" s="223"/>
      <c r="E29" s="223"/>
      <c r="F29" s="162"/>
      <c r="G29" s="163"/>
      <c r="H29" s="164">
        <f>+H28+H18</f>
        <v>388000</v>
      </c>
      <c r="I29" s="165">
        <f>+I28+I18</f>
        <v>4084.21052631579</v>
      </c>
    </row>
    <row r="30" spans="2:9" ht="15" customHeight="1">
      <c r="B30" s="98">
        <v>2</v>
      </c>
      <c r="C30" s="144" t="s">
        <v>19</v>
      </c>
      <c r="D30" s="357"/>
      <c r="E30" s="358"/>
      <c r="F30" s="358"/>
      <c r="G30" s="369"/>
      <c r="H30" s="372"/>
      <c r="I30" s="373"/>
    </row>
    <row r="31" spans="2:9" ht="15" customHeight="1">
      <c r="B31" s="149">
        <v>2.1</v>
      </c>
      <c r="C31" s="140" t="s">
        <v>20</v>
      </c>
      <c r="D31" s="150" t="s">
        <v>50</v>
      </c>
      <c r="E31" s="140">
        <v>1</v>
      </c>
      <c r="F31" s="151">
        <v>45000</v>
      </c>
      <c r="G31" s="152">
        <f>+F31/95</f>
        <v>473.6842105263158</v>
      </c>
      <c r="H31" s="153">
        <f>+F31</f>
        <v>45000</v>
      </c>
      <c r="I31" s="152">
        <f>+G31</f>
        <v>473.6842105263158</v>
      </c>
    </row>
    <row r="32" spans="2:9" ht="15" customHeight="1">
      <c r="B32" s="147">
        <v>2.11</v>
      </c>
      <c r="C32" s="150" t="s">
        <v>133</v>
      </c>
      <c r="D32" s="150" t="s">
        <v>50</v>
      </c>
      <c r="E32" s="140">
        <v>1</v>
      </c>
      <c r="F32" s="151">
        <v>10000</v>
      </c>
      <c r="G32" s="152">
        <f>+F32/95</f>
        <v>105.26315789473684</v>
      </c>
      <c r="H32" s="153">
        <f>+F32</f>
        <v>10000</v>
      </c>
      <c r="I32" s="152">
        <f>+G32</f>
        <v>105.26315789473684</v>
      </c>
    </row>
    <row r="33" spans="2:9" ht="15" customHeight="1">
      <c r="B33" s="161"/>
      <c r="C33" s="223" t="s">
        <v>88</v>
      </c>
      <c r="D33" s="223"/>
      <c r="E33" s="223"/>
      <c r="F33" s="162"/>
      <c r="G33" s="163"/>
      <c r="H33" s="164">
        <f>SUM(H31:H32)</f>
        <v>55000</v>
      </c>
      <c r="I33" s="165">
        <f>SUM(I31:I32)</f>
        <v>578.9473684210526</v>
      </c>
    </row>
    <row r="34" spans="2:9" ht="15" customHeight="1">
      <c r="B34" s="98">
        <v>4</v>
      </c>
      <c r="C34" s="144" t="s">
        <v>23</v>
      </c>
      <c r="D34" s="357"/>
      <c r="E34" s="358"/>
      <c r="F34" s="370"/>
      <c r="G34" s="369"/>
      <c r="H34" s="374"/>
      <c r="I34" s="152"/>
    </row>
    <row r="35" spans="2:9" ht="15" customHeight="1">
      <c r="B35" s="149">
        <v>4.1</v>
      </c>
      <c r="C35" s="150" t="s">
        <v>127</v>
      </c>
      <c r="D35" s="140" t="s">
        <v>50</v>
      </c>
      <c r="E35" s="140">
        <v>1</v>
      </c>
      <c r="F35" s="151">
        <v>10000</v>
      </c>
      <c r="G35" s="152">
        <f aca="true" t="shared" si="6" ref="G35:G49">+F35/95</f>
        <v>105.26315789473684</v>
      </c>
      <c r="H35" s="153">
        <v>10000</v>
      </c>
      <c r="I35" s="152">
        <f aca="true" t="shared" si="7" ref="I35:I49">+H35/95</f>
        <v>105.26315789473684</v>
      </c>
    </row>
    <row r="36" spans="2:9" ht="15" customHeight="1">
      <c r="B36" s="147">
        <v>4.11</v>
      </c>
      <c r="C36" s="140" t="s">
        <v>24</v>
      </c>
      <c r="D36" s="140" t="s">
        <v>50</v>
      </c>
      <c r="E36" s="140">
        <v>1</v>
      </c>
      <c r="F36" s="151">
        <v>2000</v>
      </c>
      <c r="G36" s="152">
        <f t="shared" si="6"/>
        <v>21.05263157894737</v>
      </c>
      <c r="H36" s="153">
        <v>2000</v>
      </c>
      <c r="I36" s="152">
        <f t="shared" si="7"/>
        <v>21.05263157894737</v>
      </c>
    </row>
    <row r="37" spans="2:9" ht="15" customHeight="1">
      <c r="B37" s="147">
        <v>4.12</v>
      </c>
      <c r="C37" s="150" t="s">
        <v>132</v>
      </c>
      <c r="D37" s="140" t="s">
        <v>50</v>
      </c>
      <c r="E37" s="140">
        <v>1</v>
      </c>
      <c r="F37" s="151">
        <v>10000</v>
      </c>
      <c r="G37" s="152">
        <f t="shared" si="6"/>
        <v>105.26315789473684</v>
      </c>
      <c r="H37" s="153">
        <v>10000</v>
      </c>
      <c r="I37" s="152">
        <f t="shared" si="7"/>
        <v>105.26315789473684</v>
      </c>
    </row>
    <row r="38" spans="2:9" ht="15" customHeight="1">
      <c r="B38" s="147">
        <v>4.13</v>
      </c>
      <c r="C38" s="140" t="s">
        <v>26</v>
      </c>
      <c r="D38" s="140" t="s">
        <v>50</v>
      </c>
      <c r="E38" s="140">
        <v>1</v>
      </c>
      <c r="F38" s="151">
        <v>3000</v>
      </c>
      <c r="G38" s="152">
        <f t="shared" si="6"/>
        <v>31.57894736842105</v>
      </c>
      <c r="H38" s="153">
        <v>3000</v>
      </c>
      <c r="I38" s="152">
        <f t="shared" si="7"/>
        <v>31.57894736842105</v>
      </c>
    </row>
    <row r="39" spans="2:9" ht="15" customHeight="1">
      <c r="B39" s="147">
        <v>4.14</v>
      </c>
      <c r="C39" s="150" t="s">
        <v>126</v>
      </c>
      <c r="D39" s="140" t="s">
        <v>50</v>
      </c>
      <c r="E39" s="140">
        <v>1</v>
      </c>
      <c r="F39" s="151">
        <v>5000</v>
      </c>
      <c r="G39" s="152">
        <f t="shared" si="6"/>
        <v>52.63157894736842</v>
      </c>
      <c r="H39" s="153">
        <v>5000</v>
      </c>
      <c r="I39" s="152">
        <f t="shared" si="7"/>
        <v>52.63157894736842</v>
      </c>
    </row>
    <row r="40" spans="2:9" ht="15" customHeight="1">
      <c r="B40" s="147">
        <v>4.15</v>
      </c>
      <c r="C40" s="140" t="s">
        <v>2</v>
      </c>
      <c r="D40" s="140" t="s">
        <v>50</v>
      </c>
      <c r="E40" s="140">
        <v>1</v>
      </c>
      <c r="F40" s="151">
        <v>70000</v>
      </c>
      <c r="G40" s="152">
        <f t="shared" si="6"/>
        <v>736.8421052631579</v>
      </c>
      <c r="H40" s="153">
        <v>70000</v>
      </c>
      <c r="I40" s="152">
        <f t="shared" si="7"/>
        <v>736.8421052631579</v>
      </c>
    </row>
    <row r="41" spans="2:9" ht="15" customHeight="1">
      <c r="B41" s="147">
        <v>4.16</v>
      </c>
      <c r="C41" s="150" t="s">
        <v>128</v>
      </c>
      <c r="D41" s="140" t="s">
        <v>50</v>
      </c>
      <c r="E41" s="140">
        <v>1</v>
      </c>
      <c r="F41" s="151">
        <v>5000</v>
      </c>
      <c r="G41" s="152">
        <f t="shared" si="6"/>
        <v>52.63157894736842</v>
      </c>
      <c r="H41" s="153">
        <v>5000</v>
      </c>
      <c r="I41" s="152">
        <f t="shared" si="7"/>
        <v>52.63157894736842</v>
      </c>
    </row>
    <row r="42" spans="2:9" ht="15" customHeight="1">
      <c r="B42" s="147">
        <v>4.17</v>
      </c>
      <c r="C42" s="150" t="s">
        <v>130</v>
      </c>
      <c r="D42" s="140" t="s">
        <v>50</v>
      </c>
      <c r="E42" s="140"/>
      <c r="F42" s="151">
        <v>50000</v>
      </c>
      <c r="G42" s="152">
        <f t="shared" si="6"/>
        <v>526.3157894736842</v>
      </c>
      <c r="H42" s="153">
        <v>50000</v>
      </c>
      <c r="I42" s="152">
        <f t="shared" si="7"/>
        <v>526.3157894736842</v>
      </c>
    </row>
    <row r="43" spans="2:9" ht="15" customHeight="1">
      <c r="B43" s="147">
        <v>4.19</v>
      </c>
      <c r="C43" s="140" t="s">
        <v>27</v>
      </c>
      <c r="D43" s="140" t="s">
        <v>50</v>
      </c>
      <c r="E43" s="140"/>
      <c r="F43" s="151">
        <v>3000</v>
      </c>
      <c r="G43" s="152">
        <f t="shared" si="6"/>
        <v>31.57894736842105</v>
      </c>
      <c r="H43" s="153">
        <v>3000</v>
      </c>
      <c r="I43" s="152">
        <f t="shared" si="7"/>
        <v>31.57894736842105</v>
      </c>
    </row>
    <row r="44" spans="2:9" ht="15" customHeight="1">
      <c r="B44" s="149">
        <v>4.2</v>
      </c>
      <c r="C44" s="150" t="s">
        <v>129</v>
      </c>
      <c r="D44" s="140" t="s">
        <v>50</v>
      </c>
      <c r="E44" s="140">
        <v>1</v>
      </c>
      <c r="F44" s="151">
        <v>20000</v>
      </c>
      <c r="G44" s="152">
        <f t="shared" si="6"/>
        <v>210.52631578947367</v>
      </c>
      <c r="H44" s="153">
        <v>20000</v>
      </c>
      <c r="I44" s="152">
        <f t="shared" si="7"/>
        <v>210.52631578947367</v>
      </c>
    </row>
    <row r="45" spans="2:9" ht="15" customHeight="1">
      <c r="B45" s="147">
        <v>4.21</v>
      </c>
      <c r="C45" s="150" t="s">
        <v>131</v>
      </c>
      <c r="D45" s="140" t="s">
        <v>50</v>
      </c>
      <c r="E45" s="140"/>
      <c r="F45" s="151">
        <v>4500</v>
      </c>
      <c r="G45" s="152">
        <f t="shared" si="6"/>
        <v>47.36842105263158</v>
      </c>
      <c r="H45" s="153">
        <v>4500</v>
      </c>
      <c r="I45" s="152">
        <f t="shared" si="7"/>
        <v>47.36842105263158</v>
      </c>
    </row>
    <row r="46" spans="2:9" ht="15" customHeight="1">
      <c r="B46" s="147">
        <v>4.22</v>
      </c>
      <c r="C46" s="140" t="s">
        <v>39</v>
      </c>
      <c r="D46" s="140" t="s">
        <v>50</v>
      </c>
      <c r="E46" s="140">
        <v>1</v>
      </c>
      <c r="F46" s="151">
        <v>5000</v>
      </c>
      <c r="G46" s="152">
        <f t="shared" si="6"/>
        <v>52.63157894736842</v>
      </c>
      <c r="H46" s="153">
        <v>5000</v>
      </c>
      <c r="I46" s="152">
        <f t="shared" si="7"/>
        <v>52.63157894736842</v>
      </c>
    </row>
    <row r="47" spans="2:9" ht="15" customHeight="1">
      <c r="B47" s="147">
        <v>4.23</v>
      </c>
      <c r="C47" s="140" t="s">
        <v>75</v>
      </c>
      <c r="D47" s="140" t="s">
        <v>50</v>
      </c>
      <c r="E47" s="140">
        <v>1</v>
      </c>
      <c r="F47" s="151">
        <v>10000</v>
      </c>
      <c r="G47" s="152">
        <f t="shared" si="6"/>
        <v>105.26315789473684</v>
      </c>
      <c r="H47" s="153">
        <v>10000</v>
      </c>
      <c r="I47" s="152">
        <f t="shared" si="7"/>
        <v>105.26315789473684</v>
      </c>
    </row>
    <row r="48" spans="2:9" ht="15" customHeight="1">
      <c r="B48" s="147">
        <v>4.24</v>
      </c>
      <c r="C48" s="140" t="s">
        <v>42</v>
      </c>
      <c r="D48" s="140" t="s">
        <v>50</v>
      </c>
      <c r="E48" s="140"/>
      <c r="F48" s="151">
        <v>500</v>
      </c>
      <c r="G48" s="152">
        <f t="shared" si="6"/>
        <v>5.2631578947368425</v>
      </c>
      <c r="H48" s="153">
        <v>500</v>
      </c>
      <c r="I48" s="152">
        <f t="shared" si="7"/>
        <v>5.2631578947368425</v>
      </c>
    </row>
    <row r="49" spans="2:9" ht="15" customHeight="1">
      <c r="B49" s="147">
        <v>4.25</v>
      </c>
      <c r="C49" s="140" t="s">
        <v>3</v>
      </c>
      <c r="D49" s="140" t="s">
        <v>50</v>
      </c>
      <c r="E49" s="140"/>
      <c r="F49" s="151">
        <v>3000</v>
      </c>
      <c r="G49" s="152">
        <f t="shared" si="6"/>
        <v>31.57894736842105</v>
      </c>
      <c r="H49" s="153">
        <v>3000</v>
      </c>
      <c r="I49" s="152">
        <f t="shared" si="7"/>
        <v>31.57894736842105</v>
      </c>
    </row>
    <row r="50" spans="2:9" ht="15" customHeight="1">
      <c r="B50" s="161"/>
      <c r="C50" s="223" t="s">
        <v>89</v>
      </c>
      <c r="D50" s="223"/>
      <c r="E50" s="223"/>
      <c r="F50" s="162"/>
      <c r="G50" s="163"/>
      <c r="H50" s="164">
        <f>SUM(H35:H49)</f>
        <v>201000</v>
      </c>
      <c r="I50" s="165">
        <f>SUM(I35:I49)</f>
        <v>2115.7894736842104</v>
      </c>
    </row>
    <row r="51" spans="2:9" ht="15" customHeight="1">
      <c r="B51" s="98">
        <v>5</v>
      </c>
      <c r="C51" s="144" t="s">
        <v>29</v>
      </c>
      <c r="D51" s="357"/>
      <c r="E51" s="358"/>
      <c r="F51" s="358"/>
      <c r="G51" s="369"/>
      <c r="H51" s="372"/>
      <c r="I51" s="373"/>
    </row>
    <row r="52" spans="2:9" ht="15" customHeight="1">
      <c r="B52" s="149">
        <v>5.1</v>
      </c>
      <c r="C52" s="140" t="s">
        <v>90</v>
      </c>
      <c r="D52" s="150" t="s">
        <v>50</v>
      </c>
      <c r="E52" s="140">
        <v>1</v>
      </c>
      <c r="F52" s="167">
        <v>450000</v>
      </c>
      <c r="G52" s="152">
        <f>+F52/95</f>
        <v>4736.8421052631575</v>
      </c>
      <c r="H52" s="153">
        <v>450000</v>
      </c>
      <c r="I52" s="152">
        <f>+H52/95</f>
        <v>4736.8421052631575</v>
      </c>
    </row>
    <row r="53" spans="2:9" ht="15" customHeight="1">
      <c r="B53" s="161"/>
      <c r="C53" s="169" t="s">
        <v>91</v>
      </c>
      <c r="D53" s="169"/>
      <c r="E53" s="170"/>
      <c r="F53" s="171"/>
      <c r="G53" s="163"/>
      <c r="H53" s="164">
        <f>SUM(H52:H52)</f>
        <v>450000</v>
      </c>
      <c r="I53" s="165">
        <f>+I52</f>
        <v>4736.8421052631575</v>
      </c>
    </row>
    <row r="54" spans="2:9" ht="15" customHeight="1">
      <c r="B54" s="98">
        <v>6</v>
      </c>
      <c r="C54" s="144" t="s">
        <v>33</v>
      </c>
      <c r="D54" s="357"/>
      <c r="E54" s="358"/>
      <c r="F54" s="358"/>
      <c r="G54" s="369"/>
      <c r="H54" s="374"/>
      <c r="I54" s="152"/>
    </row>
    <row r="55" spans="2:9" ht="15" customHeight="1">
      <c r="B55" s="149">
        <v>6.1</v>
      </c>
      <c r="C55" s="150" t="s">
        <v>147</v>
      </c>
      <c r="D55" s="140" t="s">
        <v>92</v>
      </c>
      <c r="E55" s="140">
        <v>1</v>
      </c>
      <c r="F55" s="167">
        <v>20000</v>
      </c>
      <c r="G55" s="152">
        <f>+F55/95</f>
        <v>210.52631578947367</v>
      </c>
      <c r="H55" s="153">
        <f>+F55</f>
        <v>20000</v>
      </c>
      <c r="I55" s="152">
        <f>+G55</f>
        <v>210.52631578947367</v>
      </c>
    </row>
    <row r="56" spans="2:9" ht="15" customHeight="1">
      <c r="B56" s="161"/>
      <c r="C56" s="169" t="s">
        <v>93</v>
      </c>
      <c r="D56" s="170"/>
      <c r="E56" s="170"/>
      <c r="F56" s="172"/>
      <c r="G56" s="163"/>
      <c r="H56" s="164">
        <f>+H55</f>
        <v>20000</v>
      </c>
      <c r="I56" s="165">
        <f>+I55</f>
        <v>210.52631578947367</v>
      </c>
    </row>
    <row r="57" spans="2:9" ht="15" customHeight="1">
      <c r="B57" s="98">
        <v>7</v>
      </c>
      <c r="C57" s="144" t="s">
        <v>35</v>
      </c>
      <c r="D57" s="357"/>
      <c r="E57" s="358"/>
      <c r="F57" s="358"/>
      <c r="G57" s="369"/>
      <c r="H57" s="372"/>
      <c r="I57" s="373"/>
    </row>
    <row r="58" spans="2:9" ht="15" customHeight="1">
      <c r="B58" s="375">
        <v>7.1</v>
      </c>
      <c r="C58" s="376" t="s">
        <v>187</v>
      </c>
      <c r="D58" s="376" t="s">
        <v>136</v>
      </c>
      <c r="E58" s="140"/>
      <c r="F58" s="168"/>
      <c r="G58" s="152"/>
      <c r="H58" s="153"/>
      <c r="I58" s="152"/>
    </row>
    <row r="59" spans="2:9" ht="15" customHeight="1">
      <c r="B59" s="147">
        <v>7.11</v>
      </c>
      <c r="C59" s="150" t="s">
        <v>196</v>
      </c>
      <c r="D59" s="150" t="s">
        <v>136</v>
      </c>
      <c r="E59" s="140"/>
      <c r="F59" s="167">
        <v>10000</v>
      </c>
      <c r="G59" s="152">
        <f>+F59/95</f>
        <v>105.26315789473684</v>
      </c>
      <c r="H59" s="153">
        <f>+F59</f>
        <v>10000</v>
      </c>
      <c r="I59" s="152">
        <f>+G59</f>
        <v>105.26315789473684</v>
      </c>
    </row>
    <row r="60" spans="2:9" ht="15" customHeight="1">
      <c r="B60" s="147">
        <v>7.12</v>
      </c>
      <c r="C60" s="140" t="s">
        <v>94</v>
      </c>
      <c r="D60" s="140" t="s">
        <v>50</v>
      </c>
      <c r="E60" s="140"/>
      <c r="F60" s="167">
        <f>1124000*0.05</f>
        <v>56200</v>
      </c>
      <c r="G60" s="152">
        <f>+F60/95</f>
        <v>591.578947368421</v>
      </c>
      <c r="H60" s="153">
        <f>+F60</f>
        <v>56200</v>
      </c>
      <c r="I60" s="152">
        <f>+G60</f>
        <v>591.578947368421</v>
      </c>
    </row>
    <row r="61" spans="2:9" ht="15" customHeight="1">
      <c r="B61" s="147">
        <v>7.13</v>
      </c>
      <c r="C61" s="140" t="s">
        <v>95</v>
      </c>
      <c r="D61" s="140" t="s">
        <v>50</v>
      </c>
      <c r="E61" s="140"/>
      <c r="F61" s="167">
        <f>1124000*0.05</f>
        <v>56200</v>
      </c>
      <c r="G61" s="152">
        <f>+F61/95</f>
        <v>591.578947368421</v>
      </c>
      <c r="H61" s="153">
        <f>+F61</f>
        <v>56200</v>
      </c>
      <c r="I61" s="152">
        <f>+G61</f>
        <v>591.578947368421</v>
      </c>
    </row>
    <row r="62" spans="2:9" ht="15" customHeight="1">
      <c r="B62" s="161"/>
      <c r="C62" s="169" t="s">
        <v>96</v>
      </c>
      <c r="D62" s="170"/>
      <c r="E62" s="170"/>
      <c r="F62" s="173"/>
      <c r="G62" s="163"/>
      <c r="H62" s="164">
        <f>SUM(H59:H61)</f>
        <v>122400</v>
      </c>
      <c r="I62" s="165">
        <f>SUM(I59:I61)</f>
        <v>1288.421052631579</v>
      </c>
    </row>
    <row r="63" spans="2:10" ht="26.25" customHeight="1">
      <c r="B63" s="147"/>
      <c r="C63" s="141" t="s">
        <v>37</v>
      </c>
      <c r="D63" s="140"/>
      <c r="E63" s="140"/>
      <c r="F63" s="140"/>
      <c r="G63" s="152"/>
      <c r="H63" s="159">
        <f>+H62+H56+H53+H50+H33+H29</f>
        <v>1236400</v>
      </c>
      <c r="I63" s="174">
        <f>+I62+I56+I53+I50+I33+I29</f>
        <v>13014.736842105263</v>
      </c>
      <c r="J63" s="177"/>
    </row>
    <row r="64" ht="15">
      <c r="K64" s="177"/>
    </row>
    <row r="66" ht="15">
      <c r="K66" s="177"/>
    </row>
  </sheetData>
  <sheetProtection/>
  <mergeCells count="11">
    <mergeCell ref="B2:I2"/>
    <mergeCell ref="B3:C3"/>
    <mergeCell ref="B4:C4"/>
    <mergeCell ref="D4:E4"/>
    <mergeCell ref="C29:E29"/>
    <mergeCell ref="C33:E33"/>
    <mergeCell ref="C50:E50"/>
    <mergeCell ref="F5:G5"/>
    <mergeCell ref="H5:I5"/>
    <mergeCell ref="C18:E18"/>
    <mergeCell ref="C28:E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PageLayoutView="0" workbookViewId="0" topLeftCell="A33">
      <selection activeCell="L56" sqref="L56"/>
    </sheetView>
  </sheetViews>
  <sheetFormatPr defaultColWidth="10.140625" defaultRowHeight="15"/>
  <cols>
    <col min="1" max="1" width="2.00390625" style="0" customWidth="1"/>
    <col min="2" max="2" width="6.00390625" style="0" customWidth="1"/>
    <col min="3" max="3" width="43.57421875" style="0" customWidth="1"/>
    <col min="4" max="4" width="14.7109375" style="0" bestFit="1" customWidth="1"/>
    <col min="5" max="5" width="4.28125" style="0" customWidth="1"/>
    <col min="6" max="7" width="9.7109375" style="0" customWidth="1"/>
    <col min="8" max="8" width="0.85546875" style="95" customWidth="1"/>
    <col min="9" max="9" width="10.7109375" style="0" hidden="1" customWidth="1"/>
    <col min="10" max="10" width="12.421875" style="1" hidden="1" customWidth="1"/>
    <col min="11" max="11" width="10.7109375" style="1" customWidth="1"/>
    <col min="12" max="12" width="12.421875" style="1" bestFit="1" customWidth="1"/>
    <col min="13" max="13" width="0.85546875" style="95" customWidth="1"/>
    <col min="14" max="14" width="10.7109375" style="0" customWidth="1"/>
    <col min="15" max="15" width="12.421875" style="0" bestFit="1" customWidth="1"/>
    <col min="16" max="16" width="0.9921875" style="0" customWidth="1"/>
    <col min="17" max="17" width="12.00390625" style="0" customWidth="1"/>
    <col min="18" max="18" width="13.7109375" style="0" customWidth="1"/>
  </cols>
  <sheetData>
    <row r="1" spans="2:13" ht="15" customHeight="1">
      <c r="B1" s="6"/>
      <c r="C1" s="6"/>
      <c r="D1" s="6"/>
      <c r="E1" s="6"/>
      <c r="F1" s="6"/>
      <c r="G1" s="6"/>
      <c r="H1" s="123"/>
      <c r="I1" s="6"/>
      <c r="J1" s="102"/>
      <c r="K1" s="40"/>
      <c r="L1" s="40"/>
      <c r="M1" s="123"/>
    </row>
    <row r="2" spans="1:18" ht="15" customHeight="1">
      <c r="A2" s="3"/>
      <c r="B2" s="408" t="s">
        <v>206</v>
      </c>
      <c r="C2" s="409"/>
      <c r="D2" s="409"/>
      <c r="E2" s="410"/>
      <c r="F2" s="410"/>
      <c r="G2" s="410"/>
      <c r="H2" s="411"/>
      <c r="I2" s="410"/>
      <c r="J2" s="410"/>
      <c r="K2" s="409"/>
      <c r="L2" s="409"/>
      <c r="M2" s="411"/>
      <c r="N2" s="413"/>
      <c r="O2" s="413"/>
      <c r="P2" s="411"/>
      <c r="Q2" s="412"/>
      <c r="R2" s="435"/>
    </row>
    <row r="3" spans="1:18" ht="15" customHeight="1">
      <c r="A3" s="3"/>
      <c r="B3" s="414" t="s">
        <v>49</v>
      </c>
      <c r="C3" s="415"/>
      <c r="D3" s="33"/>
      <c r="E3" s="35"/>
      <c r="F3" s="35"/>
      <c r="G3" s="35"/>
      <c r="H3" s="124"/>
      <c r="I3" s="35"/>
      <c r="J3" s="35"/>
      <c r="K3" s="33"/>
      <c r="L3" s="33"/>
      <c r="M3" s="124"/>
      <c r="N3" s="1"/>
      <c r="O3" s="417"/>
      <c r="P3" s="124"/>
      <c r="Q3" s="120"/>
      <c r="R3" s="436"/>
    </row>
    <row r="4" spans="1:18" ht="27" customHeight="1">
      <c r="A4" s="3"/>
      <c r="B4" s="41"/>
      <c r="C4" s="41"/>
      <c r="D4" s="41"/>
      <c r="E4" s="41"/>
      <c r="F4" s="229" t="s">
        <v>52</v>
      </c>
      <c r="G4" s="229"/>
      <c r="H4" s="125"/>
      <c r="I4" s="231" t="s">
        <v>1</v>
      </c>
      <c r="J4" s="232"/>
      <c r="K4" s="229" t="s">
        <v>62</v>
      </c>
      <c r="L4" s="229"/>
      <c r="M4" s="125"/>
      <c r="N4" s="230" t="s">
        <v>66</v>
      </c>
      <c r="O4" s="230"/>
      <c r="P4" s="125"/>
      <c r="Q4" s="231" t="s">
        <v>116</v>
      </c>
      <c r="R4" s="232"/>
    </row>
    <row r="5" spans="1:18" ht="15" customHeight="1" thickBot="1">
      <c r="A5" s="3"/>
      <c r="B5" s="9"/>
      <c r="C5" s="423"/>
      <c r="D5" s="424"/>
      <c r="E5" s="425"/>
      <c r="F5" s="422" t="s">
        <v>44</v>
      </c>
      <c r="G5" s="41" t="s">
        <v>46</v>
      </c>
      <c r="H5" s="126"/>
      <c r="I5" s="41" t="s">
        <v>44</v>
      </c>
      <c r="J5" s="41" t="s">
        <v>46</v>
      </c>
      <c r="K5" s="41" t="s">
        <v>44</v>
      </c>
      <c r="L5" s="41" t="s">
        <v>46</v>
      </c>
      <c r="M5" s="126"/>
      <c r="N5" s="41" t="s">
        <v>44</v>
      </c>
      <c r="O5" s="41" t="s">
        <v>46</v>
      </c>
      <c r="P5" s="126"/>
      <c r="Q5" s="121" t="s">
        <v>44</v>
      </c>
      <c r="R5" s="41" t="s">
        <v>46</v>
      </c>
    </row>
    <row r="6" spans="1:18" ht="15" customHeight="1" thickBot="1">
      <c r="A6" s="3"/>
      <c r="B6" s="9">
        <v>1</v>
      </c>
      <c r="C6" s="11" t="s">
        <v>12</v>
      </c>
      <c r="D6" s="7"/>
      <c r="E6" s="416"/>
      <c r="F6" s="410"/>
      <c r="G6" s="410"/>
      <c r="H6" s="124"/>
      <c r="I6" s="410"/>
      <c r="J6" s="410"/>
      <c r="K6" s="409"/>
      <c r="L6" s="409"/>
      <c r="M6" s="124"/>
      <c r="N6" s="413"/>
      <c r="O6" s="413"/>
      <c r="P6" s="124"/>
      <c r="Q6" s="412"/>
      <c r="R6" s="435"/>
    </row>
    <row r="7" spans="1:18" ht="15" customHeight="1" thickBot="1">
      <c r="A7" s="3"/>
      <c r="B7" s="13">
        <v>1.1</v>
      </c>
      <c r="C7" s="11" t="s">
        <v>13</v>
      </c>
      <c r="D7" s="7"/>
      <c r="E7" s="418"/>
      <c r="F7" s="419"/>
      <c r="G7" s="419"/>
      <c r="H7" s="411"/>
      <c r="I7" s="419"/>
      <c r="J7" s="419"/>
      <c r="K7" s="421"/>
      <c r="L7" s="421"/>
      <c r="M7" s="411"/>
      <c r="N7" s="242"/>
      <c r="O7" s="242"/>
      <c r="P7" s="411"/>
      <c r="Q7" s="420"/>
      <c r="R7" s="437"/>
    </row>
    <row r="8" spans="1:18" ht="15" customHeight="1" thickBot="1">
      <c r="A8" s="3"/>
      <c r="B8" s="13">
        <v>1.2000000000000002</v>
      </c>
      <c r="C8" s="8" t="s">
        <v>138</v>
      </c>
      <c r="D8" s="7" t="s">
        <v>50</v>
      </c>
      <c r="E8" s="45">
        <v>1</v>
      </c>
      <c r="F8" s="43">
        <v>30000</v>
      </c>
      <c r="G8" s="61">
        <f>+F8/95</f>
        <v>315.7894736842105</v>
      </c>
      <c r="H8" s="127"/>
      <c r="I8" s="43">
        <f aca="true" t="shared" si="0" ref="I8:I18">+F8*E8</f>
        <v>30000</v>
      </c>
      <c r="J8" s="61">
        <f aca="true" t="shared" si="1" ref="J8:J18">+G8*E8</f>
        <v>315.7894736842105</v>
      </c>
      <c r="K8" s="110"/>
      <c r="L8" s="61"/>
      <c r="M8" s="127"/>
      <c r="N8" s="43">
        <f>+I8</f>
        <v>30000</v>
      </c>
      <c r="O8" s="61">
        <f>+N8/95</f>
        <v>315.7894736842105</v>
      </c>
      <c r="P8" s="127"/>
      <c r="Q8" s="44">
        <f>+F8</f>
        <v>30000</v>
      </c>
      <c r="R8" s="61">
        <f>+Q8/95</f>
        <v>315.7894736842105</v>
      </c>
    </row>
    <row r="9" spans="1:18" ht="15" customHeight="1" thickBot="1">
      <c r="A9" s="3"/>
      <c r="B9" s="13">
        <v>1.3</v>
      </c>
      <c r="C9" s="8" t="s">
        <v>141</v>
      </c>
      <c r="D9" s="7" t="s">
        <v>50</v>
      </c>
      <c r="E9" s="45">
        <v>1</v>
      </c>
      <c r="F9" s="43">
        <v>25000</v>
      </c>
      <c r="G9" s="61">
        <f aca="true" t="shared" si="2" ref="G9:G18">+F9/95</f>
        <v>263.1578947368421</v>
      </c>
      <c r="H9" s="127"/>
      <c r="I9" s="43">
        <f t="shared" si="0"/>
        <v>25000</v>
      </c>
      <c r="J9" s="61">
        <f t="shared" si="1"/>
        <v>263.1578947368421</v>
      </c>
      <c r="K9" s="105">
        <v>7500</v>
      </c>
      <c r="L9" s="61">
        <f aca="true" t="shared" si="3" ref="L9:L18">+K9/95</f>
        <v>78.94736842105263</v>
      </c>
      <c r="M9" s="127"/>
      <c r="N9" s="43">
        <f>+I9*0.7</f>
        <v>17500</v>
      </c>
      <c r="O9" s="61">
        <f aca="true" t="shared" si="4" ref="O9:O17">+N9/95</f>
        <v>184.21052631578948</v>
      </c>
      <c r="P9" s="127"/>
      <c r="Q9" s="44">
        <f>+F9</f>
        <v>25000</v>
      </c>
      <c r="R9" s="61">
        <f aca="true" t="shared" si="5" ref="R9:R19">+Q9/95</f>
        <v>263.1578947368421</v>
      </c>
    </row>
    <row r="10" spans="1:18" ht="15" customHeight="1" thickBot="1">
      <c r="A10" s="3"/>
      <c r="B10" s="13">
        <v>1.4000000000000001</v>
      </c>
      <c r="C10" s="8" t="s">
        <v>53</v>
      </c>
      <c r="D10" s="7" t="s">
        <v>50</v>
      </c>
      <c r="E10" s="45">
        <v>1</v>
      </c>
      <c r="F10" s="44">
        <v>30000</v>
      </c>
      <c r="G10" s="61">
        <f t="shared" si="2"/>
        <v>315.7894736842105</v>
      </c>
      <c r="H10" s="127"/>
      <c r="I10" s="43">
        <f t="shared" si="0"/>
        <v>30000</v>
      </c>
      <c r="J10" s="61">
        <f t="shared" si="1"/>
        <v>315.7894736842105</v>
      </c>
      <c r="K10" s="44">
        <v>30000</v>
      </c>
      <c r="L10" s="61">
        <f t="shared" si="3"/>
        <v>315.7894736842105</v>
      </c>
      <c r="M10" s="127"/>
      <c r="N10" s="43"/>
      <c r="O10" s="61"/>
      <c r="P10" s="127"/>
      <c r="Q10" s="44">
        <f>+F10</f>
        <v>30000</v>
      </c>
      <c r="R10" s="61">
        <f t="shared" si="5"/>
        <v>315.7894736842105</v>
      </c>
    </row>
    <row r="11" spans="1:18" ht="15" customHeight="1" thickBot="1">
      <c r="A11" s="3"/>
      <c r="B11" s="13">
        <v>1.5</v>
      </c>
      <c r="C11" s="8" t="s">
        <v>97</v>
      </c>
      <c r="D11" s="7" t="s">
        <v>50</v>
      </c>
      <c r="E11" s="45">
        <v>1</v>
      </c>
      <c r="F11" s="44">
        <v>20000</v>
      </c>
      <c r="G11" s="61">
        <f t="shared" si="2"/>
        <v>210.52631578947367</v>
      </c>
      <c r="H11" s="127"/>
      <c r="I11" s="43">
        <f t="shared" si="0"/>
        <v>20000</v>
      </c>
      <c r="J11" s="61">
        <f t="shared" si="1"/>
        <v>210.52631578947367</v>
      </c>
      <c r="K11" s="44">
        <v>20000</v>
      </c>
      <c r="L11" s="61">
        <f t="shared" si="3"/>
        <v>210.52631578947367</v>
      </c>
      <c r="M11" s="127"/>
      <c r="N11" s="43"/>
      <c r="O11" s="61"/>
      <c r="P11" s="127"/>
      <c r="Q11" s="44">
        <f>+F11</f>
        <v>20000</v>
      </c>
      <c r="R11" s="61">
        <f t="shared" si="5"/>
        <v>210.52631578947367</v>
      </c>
    </row>
    <row r="12" spans="1:18" ht="15" customHeight="1" thickBot="1">
      <c r="A12" s="3"/>
      <c r="B12" s="13">
        <v>1.6</v>
      </c>
      <c r="C12" s="24" t="s">
        <v>54</v>
      </c>
      <c r="D12" s="7" t="s">
        <v>50</v>
      </c>
      <c r="E12" s="38">
        <v>1</v>
      </c>
      <c r="F12" s="103">
        <v>15000</v>
      </c>
      <c r="G12" s="61">
        <f t="shared" si="2"/>
        <v>157.89473684210526</v>
      </c>
      <c r="H12" s="127"/>
      <c r="I12" s="43">
        <f t="shared" si="0"/>
        <v>15000</v>
      </c>
      <c r="J12" s="61">
        <f t="shared" si="1"/>
        <v>157.89473684210526</v>
      </c>
      <c r="K12" s="44">
        <v>15000</v>
      </c>
      <c r="L12" s="61">
        <f t="shared" si="3"/>
        <v>157.89473684210526</v>
      </c>
      <c r="M12" s="127"/>
      <c r="N12" s="43"/>
      <c r="O12" s="61"/>
      <c r="P12" s="127"/>
      <c r="Q12" s="44">
        <f>+F12</f>
        <v>15000</v>
      </c>
      <c r="R12" s="61">
        <f t="shared" si="5"/>
        <v>157.89473684210526</v>
      </c>
    </row>
    <row r="13" spans="1:18" ht="15" customHeight="1" thickBot="1">
      <c r="A13" s="3"/>
      <c r="B13" s="13">
        <v>1.7000000000000002</v>
      </c>
      <c r="C13" s="8" t="s">
        <v>137</v>
      </c>
      <c r="D13" s="7" t="s">
        <v>50</v>
      </c>
      <c r="E13" s="45">
        <v>1</v>
      </c>
      <c r="F13" s="43">
        <v>20000</v>
      </c>
      <c r="G13" s="61">
        <f t="shared" si="2"/>
        <v>210.52631578947367</v>
      </c>
      <c r="H13" s="127"/>
      <c r="I13" s="43">
        <f t="shared" si="0"/>
        <v>20000</v>
      </c>
      <c r="J13" s="61">
        <f t="shared" si="1"/>
        <v>210.52631578947367</v>
      </c>
      <c r="K13" s="44">
        <v>10000</v>
      </c>
      <c r="L13" s="61">
        <f t="shared" si="3"/>
        <v>105.26315789473684</v>
      </c>
      <c r="M13" s="127"/>
      <c r="N13" s="43">
        <f>+I13*0.5</f>
        <v>10000</v>
      </c>
      <c r="O13" s="61">
        <f t="shared" si="4"/>
        <v>105.26315789473684</v>
      </c>
      <c r="P13" s="127"/>
      <c r="Q13" s="44">
        <f>+F13</f>
        <v>20000</v>
      </c>
      <c r="R13" s="61">
        <f t="shared" si="5"/>
        <v>210.52631578947367</v>
      </c>
    </row>
    <row r="14" spans="1:18" ht="15" customHeight="1" thickBot="1">
      <c r="A14" s="3"/>
      <c r="B14" s="13">
        <v>1.8000000000000003</v>
      </c>
      <c r="C14" s="8" t="s">
        <v>139</v>
      </c>
      <c r="D14" s="7" t="s">
        <v>50</v>
      </c>
      <c r="E14" s="45">
        <v>1</v>
      </c>
      <c r="F14" s="43">
        <v>20000</v>
      </c>
      <c r="G14" s="61">
        <f t="shared" si="2"/>
        <v>210.52631578947367</v>
      </c>
      <c r="H14" s="127"/>
      <c r="I14" s="43">
        <f t="shared" si="0"/>
        <v>20000</v>
      </c>
      <c r="J14" s="61">
        <f t="shared" si="1"/>
        <v>210.52631578947367</v>
      </c>
      <c r="K14" s="44">
        <v>10000</v>
      </c>
      <c r="L14" s="61">
        <f t="shared" si="3"/>
        <v>105.26315789473684</v>
      </c>
      <c r="M14" s="127"/>
      <c r="N14" s="43">
        <f>+I14*0.5</f>
        <v>10000</v>
      </c>
      <c r="O14" s="61">
        <f t="shared" si="4"/>
        <v>105.26315789473684</v>
      </c>
      <c r="P14" s="127"/>
      <c r="Q14" s="44">
        <f>+F14</f>
        <v>20000</v>
      </c>
      <c r="R14" s="61">
        <f t="shared" si="5"/>
        <v>210.52631578947367</v>
      </c>
    </row>
    <row r="15" spans="1:18" ht="15" customHeight="1" thickBot="1">
      <c r="A15" s="3"/>
      <c r="B15" s="13">
        <v>1.9000000000000001</v>
      </c>
      <c r="C15" s="8" t="s">
        <v>55</v>
      </c>
      <c r="D15" s="7" t="s">
        <v>50</v>
      </c>
      <c r="E15" s="45">
        <v>1</v>
      </c>
      <c r="F15" s="43">
        <v>15000</v>
      </c>
      <c r="G15" s="61">
        <f t="shared" si="2"/>
        <v>157.89473684210526</v>
      </c>
      <c r="H15" s="127"/>
      <c r="I15" s="43">
        <f t="shared" si="0"/>
        <v>15000</v>
      </c>
      <c r="J15" s="61">
        <f t="shared" si="1"/>
        <v>157.89473684210526</v>
      </c>
      <c r="K15" s="44">
        <v>15000</v>
      </c>
      <c r="L15" s="61">
        <f t="shared" si="3"/>
        <v>157.89473684210526</v>
      </c>
      <c r="M15" s="127"/>
      <c r="N15" s="43"/>
      <c r="O15" s="61"/>
      <c r="P15" s="127"/>
      <c r="Q15" s="44">
        <f>+F15</f>
        <v>15000</v>
      </c>
      <c r="R15" s="61">
        <f t="shared" si="5"/>
        <v>157.89473684210526</v>
      </c>
    </row>
    <row r="16" spans="1:18" ht="15" customHeight="1" thickBot="1">
      <c r="A16" s="3"/>
      <c r="B16" s="13">
        <v>2</v>
      </c>
      <c r="C16" s="8" t="s">
        <v>98</v>
      </c>
      <c r="D16" s="7" t="s">
        <v>50</v>
      </c>
      <c r="E16" s="45">
        <v>1</v>
      </c>
      <c r="F16" s="43">
        <v>20000</v>
      </c>
      <c r="G16" s="61">
        <f t="shared" si="2"/>
        <v>210.52631578947367</v>
      </c>
      <c r="H16" s="127"/>
      <c r="I16" s="43">
        <f t="shared" si="0"/>
        <v>20000</v>
      </c>
      <c r="J16" s="61">
        <f t="shared" si="1"/>
        <v>210.52631578947367</v>
      </c>
      <c r="K16" s="44">
        <v>20000</v>
      </c>
      <c r="L16" s="61">
        <f t="shared" si="3"/>
        <v>210.52631578947367</v>
      </c>
      <c r="M16" s="127"/>
      <c r="N16" s="43"/>
      <c r="O16" s="61"/>
      <c r="P16" s="127"/>
      <c r="Q16" s="44">
        <f>+F16</f>
        <v>20000</v>
      </c>
      <c r="R16" s="61">
        <f t="shared" si="5"/>
        <v>210.52631578947367</v>
      </c>
    </row>
    <row r="17" spans="1:18" ht="15" customHeight="1" thickBot="1">
      <c r="A17" s="3"/>
      <c r="B17" s="13">
        <v>2.1</v>
      </c>
      <c r="C17" s="8" t="s">
        <v>140</v>
      </c>
      <c r="D17" s="7" t="s">
        <v>50</v>
      </c>
      <c r="E17" s="45">
        <v>1</v>
      </c>
      <c r="F17" s="43">
        <v>218500</v>
      </c>
      <c r="G17" s="61">
        <f t="shared" si="2"/>
        <v>2300</v>
      </c>
      <c r="H17" s="127"/>
      <c r="I17" s="43">
        <f t="shared" si="0"/>
        <v>218500</v>
      </c>
      <c r="J17" s="61">
        <f t="shared" si="1"/>
        <v>2300</v>
      </c>
      <c r="K17" s="44">
        <v>109250</v>
      </c>
      <c r="L17" s="61">
        <f t="shared" si="3"/>
        <v>1150</v>
      </c>
      <c r="M17" s="127"/>
      <c r="N17" s="43">
        <f>+K17</f>
        <v>109250</v>
      </c>
      <c r="O17" s="61">
        <f t="shared" si="4"/>
        <v>1150</v>
      </c>
      <c r="P17" s="127"/>
      <c r="Q17" s="44">
        <f>+F17</f>
        <v>218500</v>
      </c>
      <c r="R17" s="61">
        <f t="shared" si="5"/>
        <v>2300</v>
      </c>
    </row>
    <row r="18" spans="1:18" ht="15" customHeight="1" thickBot="1">
      <c r="A18" s="3"/>
      <c r="B18" s="13">
        <v>2.2</v>
      </c>
      <c r="C18" s="8" t="s">
        <v>163</v>
      </c>
      <c r="D18" s="7" t="s">
        <v>50</v>
      </c>
      <c r="E18" s="45">
        <v>4</v>
      </c>
      <c r="F18" s="43">
        <v>5000</v>
      </c>
      <c r="G18" s="61">
        <f t="shared" si="2"/>
        <v>52.63157894736842</v>
      </c>
      <c r="H18" s="127"/>
      <c r="I18" s="43">
        <f t="shared" si="0"/>
        <v>20000</v>
      </c>
      <c r="J18" s="61">
        <f t="shared" si="1"/>
        <v>210.52631578947367</v>
      </c>
      <c r="K18" s="44">
        <v>20000</v>
      </c>
      <c r="L18" s="61">
        <f t="shared" si="3"/>
        <v>210.52631578947367</v>
      </c>
      <c r="M18" s="127"/>
      <c r="N18" s="43"/>
      <c r="O18" s="61"/>
      <c r="P18" s="127"/>
      <c r="Q18" s="44">
        <f>+F18*4</f>
        <v>20000</v>
      </c>
      <c r="R18" s="61">
        <f t="shared" si="5"/>
        <v>210.52631578947367</v>
      </c>
    </row>
    <row r="19" spans="1:18" ht="15" customHeight="1" thickBot="1">
      <c r="A19" s="3"/>
      <c r="B19" s="13"/>
      <c r="C19" s="11" t="s">
        <v>15</v>
      </c>
      <c r="D19" s="7"/>
      <c r="E19" s="45"/>
      <c r="F19" s="43"/>
      <c r="G19" s="45"/>
      <c r="H19" s="124"/>
      <c r="I19" s="46">
        <f>SUM(I8:I18)</f>
        <v>433500</v>
      </c>
      <c r="J19" s="109">
        <f>SUM(J8:J18)</f>
        <v>4563.157894736842</v>
      </c>
      <c r="K19" s="106">
        <v>256750</v>
      </c>
      <c r="L19" s="111">
        <f>SUM(L9:L18)</f>
        <v>2702.631578947369</v>
      </c>
      <c r="M19" s="124"/>
      <c r="N19" s="46">
        <f>SUM(N8:N17)</f>
        <v>176750</v>
      </c>
      <c r="O19" s="111">
        <f>SUM(O8:O17)</f>
        <v>1860.5263157894738</v>
      </c>
      <c r="P19" s="124"/>
      <c r="Q19" s="108">
        <f>SUM(Q8:Q18)</f>
        <v>433500</v>
      </c>
      <c r="R19" s="61">
        <f t="shared" si="5"/>
        <v>4563.1578947368425</v>
      </c>
    </row>
    <row r="20" spans="1:18" ht="6" customHeight="1" thickBot="1">
      <c r="A20" s="3"/>
      <c r="B20" s="13"/>
      <c r="C20" s="8"/>
      <c r="D20" s="7"/>
      <c r="E20" s="45"/>
      <c r="F20" s="43"/>
      <c r="G20" s="45"/>
      <c r="H20" s="124"/>
      <c r="I20" s="45"/>
      <c r="J20" s="45"/>
      <c r="K20" s="45"/>
      <c r="L20" s="45"/>
      <c r="M20" s="124"/>
      <c r="N20" s="43"/>
      <c r="O20" s="43"/>
      <c r="P20" s="124"/>
      <c r="Q20" s="44"/>
      <c r="R20" s="45"/>
    </row>
    <row r="21" spans="1:18" ht="15" customHeight="1" thickBot="1">
      <c r="A21" s="3"/>
      <c r="B21" s="13"/>
      <c r="C21" s="25" t="s">
        <v>16</v>
      </c>
      <c r="D21" s="7"/>
      <c r="E21" s="45"/>
      <c r="F21" s="43"/>
      <c r="G21" s="45"/>
      <c r="H21" s="124"/>
      <c r="I21" s="45"/>
      <c r="J21" s="45"/>
      <c r="K21" s="45"/>
      <c r="L21" s="45"/>
      <c r="M21" s="124"/>
      <c r="N21" s="43"/>
      <c r="O21" s="43"/>
      <c r="P21" s="124"/>
      <c r="Q21" s="44"/>
      <c r="R21" s="45"/>
    </row>
    <row r="22" spans="1:18" ht="15" customHeight="1" thickBot="1">
      <c r="A22" s="3"/>
      <c r="B22" s="17">
        <v>1.21</v>
      </c>
      <c r="C22" s="8" t="s">
        <v>99</v>
      </c>
      <c r="D22" s="7" t="s">
        <v>50</v>
      </c>
      <c r="E22" s="45">
        <v>2</v>
      </c>
      <c r="F22" s="43">
        <v>12000</v>
      </c>
      <c r="G22" s="61">
        <f>+F22/95</f>
        <v>126.3157894736842</v>
      </c>
      <c r="H22" s="127"/>
      <c r="I22" s="43">
        <f>+F22*E22</f>
        <v>24000</v>
      </c>
      <c r="J22" s="61">
        <f>+I22/95</f>
        <v>252.6315789473684</v>
      </c>
      <c r="K22" s="43">
        <v>24000</v>
      </c>
      <c r="L22" s="61">
        <f>+K22/95</f>
        <v>252.6315789473684</v>
      </c>
      <c r="M22" s="127"/>
      <c r="N22" s="43"/>
      <c r="O22" s="43"/>
      <c r="P22" s="127"/>
      <c r="Q22" s="44">
        <f>+F22*2</f>
        <v>24000</v>
      </c>
      <c r="R22" s="61">
        <f aca="true" t="shared" si="6" ref="R22:R27">+Q22/95</f>
        <v>252.6315789473684</v>
      </c>
    </row>
    <row r="23" spans="1:18" s="28" customFormat="1" ht="15" customHeight="1" thickBot="1">
      <c r="A23" s="47"/>
      <c r="B23" s="26">
        <v>1.22</v>
      </c>
      <c r="C23" s="27" t="s">
        <v>142</v>
      </c>
      <c r="D23" s="7" t="s">
        <v>50</v>
      </c>
      <c r="E23" s="59">
        <v>1</v>
      </c>
      <c r="F23" s="104">
        <v>10000</v>
      </c>
      <c r="G23" s="61">
        <f>+F23/95</f>
        <v>105.26315789473684</v>
      </c>
      <c r="H23" s="127"/>
      <c r="I23" s="43">
        <f>+F23*E23</f>
        <v>10000</v>
      </c>
      <c r="J23" s="61">
        <f>+I23/95</f>
        <v>105.26315789473684</v>
      </c>
      <c r="K23" s="43">
        <v>10000</v>
      </c>
      <c r="L23" s="61">
        <f>+K23/95</f>
        <v>105.26315789473684</v>
      </c>
      <c r="M23" s="127"/>
      <c r="N23" s="43"/>
      <c r="O23" s="43"/>
      <c r="P23" s="127"/>
      <c r="Q23" s="44">
        <f>+F23</f>
        <v>10000</v>
      </c>
      <c r="R23" s="61">
        <f t="shared" si="6"/>
        <v>105.26315789473684</v>
      </c>
    </row>
    <row r="24" spans="1:18" ht="15" customHeight="1" thickBot="1">
      <c r="A24" s="3"/>
      <c r="B24" s="13">
        <v>1.23</v>
      </c>
      <c r="C24" s="8" t="s">
        <v>143</v>
      </c>
      <c r="D24" s="7" t="s">
        <v>50</v>
      </c>
      <c r="E24" s="45">
        <v>1</v>
      </c>
      <c r="F24" s="43">
        <v>10000</v>
      </c>
      <c r="G24" s="61">
        <f>+F24/95</f>
        <v>105.26315789473684</v>
      </c>
      <c r="H24" s="127"/>
      <c r="I24" s="43">
        <f>+F24*E24</f>
        <v>10000</v>
      </c>
      <c r="J24" s="61">
        <f>+I24/95</f>
        <v>105.26315789473684</v>
      </c>
      <c r="K24" s="43">
        <v>10000</v>
      </c>
      <c r="L24" s="61">
        <f>+K24/95</f>
        <v>105.26315789473684</v>
      </c>
      <c r="M24" s="127"/>
      <c r="N24" s="43"/>
      <c r="O24" s="43"/>
      <c r="P24" s="127"/>
      <c r="Q24" s="44">
        <f>+F24</f>
        <v>10000</v>
      </c>
      <c r="R24" s="61">
        <f t="shared" si="6"/>
        <v>105.26315789473684</v>
      </c>
    </row>
    <row r="25" spans="1:18" ht="15" customHeight="1" thickBot="1">
      <c r="A25" s="3"/>
      <c r="B25" s="13">
        <v>1.24</v>
      </c>
      <c r="C25" s="8" t="s">
        <v>57</v>
      </c>
      <c r="D25" s="7" t="s">
        <v>50</v>
      </c>
      <c r="E25" s="45">
        <v>1</v>
      </c>
      <c r="F25" s="43">
        <v>8000</v>
      </c>
      <c r="G25" s="61">
        <f>+F25/95</f>
        <v>84.21052631578948</v>
      </c>
      <c r="H25" s="127"/>
      <c r="I25" s="43">
        <f>+F25*E25</f>
        <v>8000</v>
      </c>
      <c r="J25" s="61">
        <f>+I25/95</f>
        <v>84.21052631578948</v>
      </c>
      <c r="K25" s="43"/>
      <c r="L25" s="61">
        <f>+K25/95</f>
        <v>0</v>
      </c>
      <c r="M25" s="127"/>
      <c r="N25" s="43">
        <f>+I25</f>
        <v>8000</v>
      </c>
      <c r="O25" s="61">
        <f>+N25/95</f>
        <v>84.21052631578948</v>
      </c>
      <c r="P25" s="127"/>
      <c r="Q25" s="44">
        <f>+F25</f>
        <v>8000</v>
      </c>
      <c r="R25" s="61">
        <f t="shared" si="6"/>
        <v>84.21052631578948</v>
      </c>
    </row>
    <row r="26" spans="1:18" ht="15" customHeight="1" thickBot="1">
      <c r="A26" s="3"/>
      <c r="B26" s="13">
        <v>1.25</v>
      </c>
      <c r="C26" s="8" t="s">
        <v>56</v>
      </c>
      <c r="D26" s="7" t="s">
        <v>50</v>
      </c>
      <c r="E26" s="45">
        <v>1</v>
      </c>
      <c r="F26" s="43">
        <v>8000</v>
      </c>
      <c r="G26" s="61">
        <f>+F26/95</f>
        <v>84.21052631578948</v>
      </c>
      <c r="H26" s="127"/>
      <c r="I26" s="43">
        <f>+F26*E26</f>
        <v>8000</v>
      </c>
      <c r="J26" s="61">
        <f>+I26/95</f>
        <v>84.21052631578948</v>
      </c>
      <c r="K26" s="43">
        <v>8000</v>
      </c>
      <c r="L26" s="61">
        <f>+K26/95</f>
        <v>84.21052631578948</v>
      </c>
      <c r="M26" s="127"/>
      <c r="N26" s="43"/>
      <c r="O26" s="43"/>
      <c r="P26" s="127"/>
      <c r="Q26" s="44">
        <f>+F26</f>
        <v>8000</v>
      </c>
      <c r="R26" s="61">
        <f t="shared" si="6"/>
        <v>84.21052631578948</v>
      </c>
    </row>
    <row r="27" spans="1:18" ht="15" customHeight="1" thickBot="1">
      <c r="A27" s="3"/>
      <c r="B27" s="13"/>
      <c r="C27" s="11" t="s">
        <v>17</v>
      </c>
      <c r="D27" s="7"/>
      <c r="E27" s="45"/>
      <c r="F27" s="43"/>
      <c r="G27" s="45"/>
      <c r="H27" s="124"/>
      <c r="I27" s="46">
        <f>SUM(I22:I26)</f>
        <v>60000</v>
      </c>
      <c r="J27" s="109">
        <f>SUM(J22:J26)</f>
        <v>631.578947368421</v>
      </c>
      <c r="K27" s="46">
        <v>52000</v>
      </c>
      <c r="L27" s="111">
        <f>SUM(L22:L26)</f>
        <v>547.3684210526316</v>
      </c>
      <c r="M27" s="124"/>
      <c r="N27" s="46">
        <f>SUM(N25:N26)</f>
        <v>8000</v>
      </c>
      <c r="O27" s="111">
        <f>+O25</f>
        <v>84.21052631578948</v>
      </c>
      <c r="P27" s="124"/>
      <c r="Q27" s="108">
        <f>SUM(Q22:Q26)</f>
        <v>60000</v>
      </c>
      <c r="R27" s="61">
        <f t="shared" si="6"/>
        <v>631.578947368421</v>
      </c>
    </row>
    <row r="28" spans="1:18" ht="15" customHeight="1" thickBot="1">
      <c r="A28" s="3"/>
      <c r="B28" s="62"/>
      <c r="C28" s="63" t="s">
        <v>18</v>
      </c>
      <c r="D28" s="64"/>
      <c r="E28" s="65"/>
      <c r="F28" s="66"/>
      <c r="G28" s="65"/>
      <c r="H28" s="128"/>
      <c r="I28" s="67">
        <f>+I27+I19</f>
        <v>493500</v>
      </c>
      <c r="J28" s="112">
        <f>+J27+J19</f>
        <v>5194.736842105262</v>
      </c>
      <c r="K28" s="107">
        <v>308750</v>
      </c>
      <c r="L28" s="113">
        <f>+L27+L19</f>
        <v>3250.0000000000005</v>
      </c>
      <c r="M28" s="128"/>
      <c r="N28" s="67">
        <f>+N27+N19</f>
        <v>184750</v>
      </c>
      <c r="O28" s="113">
        <f>+O27+O19</f>
        <v>1944.7368421052633</v>
      </c>
      <c r="P28" s="128"/>
      <c r="Q28" s="122"/>
      <c r="R28" s="65"/>
    </row>
    <row r="29" spans="1:18" ht="15" customHeight="1" thickBot="1">
      <c r="A29" s="3"/>
      <c r="B29" s="9">
        <v>2</v>
      </c>
      <c r="C29" s="11" t="s">
        <v>19</v>
      </c>
      <c r="D29" s="7"/>
      <c r="E29" s="45"/>
      <c r="F29" s="43"/>
      <c r="G29" s="45"/>
      <c r="H29" s="124"/>
      <c r="I29" s="45"/>
      <c r="J29" s="45"/>
      <c r="K29" s="42"/>
      <c r="L29" s="42"/>
      <c r="M29" s="124"/>
      <c r="N29" s="43"/>
      <c r="O29" s="43"/>
      <c r="P29" s="124"/>
      <c r="Q29" s="44"/>
      <c r="R29" s="45"/>
    </row>
    <row r="30" spans="1:18" ht="15" customHeight="1" thickBot="1">
      <c r="A30" s="3"/>
      <c r="B30" s="17">
        <v>2.1</v>
      </c>
      <c r="C30" s="187" t="s">
        <v>58</v>
      </c>
      <c r="D30" s="7" t="s">
        <v>50</v>
      </c>
      <c r="E30" s="45">
        <v>1</v>
      </c>
      <c r="F30" s="43">
        <v>45000</v>
      </c>
      <c r="G30" s="61">
        <f>+F30/95</f>
        <v>473.6842105263158</v>
      </c>
      <c r="H30" s="127"/>
      <c r="I30" s="43">
        <f>+F30*E30</f>
        <v>45000</v>
      </c>
      <c r="J30" s="61">
        <f>+I30/95</f>
        <v>473.6842105263158</v>
      </c>
      <c r="K30" s="43">
        <v>9000</v>
      </c>
      <c r="L30" s="61">
        <f>+K30/95</f>
        <v>94.73684210526316</v>
      </c>
      <c r="M30" s="127"/>
      <c r="N30" s="43">
        <f>+I30*0.8</f>
        <v>36000</v>
      </c>
      <c r="O30" s="61">
        <f>+N30/95</f>
        <v>378.94736842105266</v>
      </c>
      <c r="P30" s="127"/>
      <c r="Q30" s="44">
        <f>+F30</f>
        <v>45000</v>
      </c>
      <c r="R30" s="61">
        <f>+Q30/95</f>
        <v>473.6842105263158</v>
      </c>
    </row>
    <row r="31" spans="1:18" ht="15" customHeight="1" thickBot="1">
      <c r="A31" s="3"/>
      <c r="B31" s="13">
        <v>2.11</v>
      </c>
      <c r="C31" s="8" t="s">
        <v>144</v>
      </c>
      <c r="D31" s="7" t="s">
        <v>50</v>
      </c>
      <c r="E31" s="45">
        <v>1</v>
      </c>
      <c r="F31" s="43">
        <v>10000</v>
      </c>
      <c r="G31" s="61">
        <f>+F31/95</f>
        <v>105.26315789473684</v>
      </c>
      <c r="H31" s="127"/>
      <c r="I31" s="43">
        <f>+F31*E31</f>
        <v>10000</v>
      </c>
      <c r="J31" s="61">
        <f>+I31/95</f>
        <v>105.26315789473684</v>
      </c>
      <c r="K31" s="43">
        <v>6000</v>
      </c>
      <c r="L31" s="61">
        <f>+K31/95</f>
        <v>63.1578947368421</v>
      </c>
      <c r="M31" s="127"/>
      <c r="N31" s="43">
        <f>+I31*0.4</f>
        <v>4000</v>
      </c>
      <c r="O31" s="61">
        <f>+N31/95</f>
        <v>42.10526315789474</v>
      </c>
      <c r="P31" s="127"/>
      <c r="Q31" s="44">
        <f>+F31</f>
        <v>10000</v>
      </c>
      <c r="R31" s="61">
        <f>+Q31/95</f>
        <v>105.26315789473684</v>
      </c>
    </row>
    <row r="32" spans="1:18" ht="15" customHeight="1" thickBot="1">
      <c r="A32" s="3"/>
      <c r="B32" s="13"/>
      <c r="C32" s="8"/>
      <c r="D32" s="7"/>
      <c r="E32" s="45"/>
      <c r="F32" s="43"/>
      <c r="G32" s="45"/>
      <c r="H32" s="124"/>
      <c r="I32" s="43"/>
      <c r="J32" s="45"/>
      <c r="K32" s="45"/>
      <c r="L32" s="45"/>
      <c r="M32" s="124"/>
      <c r="N32" s="43"/>
      <c r="O32" s="43"/>
      <c r="P32" s="124"/>
      <c r="Q32" s="44"/>
      <c r="R32" s="45"/>
    </row>
    <row r="33" spans="1:18" ht="15" customHeight="1" thickBot="1">
      <c r="A33" s="3"/>
      <c r="B33" s="62"/>
      <c r="C33" s="63" t="s">
        <v>21</v>
      </c>
      <c r="D33" s="64"/>
      <c r="E33" s="65"/>
      <c r="F33" s="66"/>
      <c r="G33" s="65"/>
      <c r="H33" s="128"/>
      <c r="I33" s="67">
        <f>SUM(I30:I32)</f>
        <v>55000</v>
      </c>
      <c r="J33" s="112">
        <f>SUM(J30:J32)</f>
        <v>578.9473684210526</v>
      </c>
      <c r="K33" s="67">
        <f>SUM(K30:K32)</f>
        <v>15000</v>
      </c>
      <c r="L33" s="113">
        <f>SUM(L30:L32)</f>
        <v>157.89473684210526</v>
      </c>
      <c r="M33" s="128"/>
      <c r="N33" s="67">
        <f>SUM(N30:N31)</f>
        <v>40000</v>
      </c>
      <c r="O33" s="113">
        <f>SUM(O30:O31)</f>
        <v>421.0526315789474</v>
      </c>
      <c r="P33" s="128"/>
      <c r="Q33" s="122">
        <f>SUM(Q30:Q32)</f>
        <v>55000</v>
      </c>
      <c r="R33" s="122">
        <f>SUM(R30:R32)</f>
        <v>578.9473684210526</v>
      </c>
    </row>
    <row r="34" spans="1:18" ht="15" customHeight="1" thickBot="1">
      <c r="A34" s="3"/>
      <c r="B34" s="9">
        <v>4</v>
      </c>
      <c r="C34" s="11" t="s">
        <v>23</v>
      </c>
      <c r="D34" s="7"/>
      <c r="E34" s="45"/>
      <c r="F34" s="43"/>
      <c r="G34" s="45"/>
      <c r="H34" s="124"/>
      <c r="I34" s="45"/>
      <c r="J34" s="45"/>
      <c r="K34" s="45"/>
      <c r="L34" s="45"/>
      <c r="M34" s="124"/>
      <c r="N34" s="43"/>
      <c r="O34" s="43"/>
      <c r="P34" s="124"/>
      <c r="Q34" s="44"/>
      <c r="R34" s="45"/>
    </row>
    <row r="35" spans="1:18" ht="15" customHeight="1" thickBot="1">
      <c r="A35" s="3"/>
      <c r="B35" s="17">
        <v>4.1</v>
      </c>
      <c r="C35" s="8" t="s">
        <v>127</v>
      </c>
      <c r="D35" s="7" t="s">
        <v>50</v>
      </c>
      <c r="E35" s="45">
        <v>1</v>
      </c>
      <c r="F35" s="43">
        <v>84700</v>
      </c>
      <c r="G35" s="61">
        <f>+F35/95</f>
        <v>891.578947368421</v>
      </c>
      <c r="H35" s="124"/>
      <c r="I35" s="45"/>
      <c r="J35" s="45"/>
      <c r="K35" s="44">
        <v>84700</v>
      </c>
      <c r="L35" s="61">
        <f>+G35</f>
        <v>891.578947368421</v>
      </c>
      <c r="M35" s="124"/>
      <c r="N35" s="43"/>
      <c r="O35" s="43"/>
      <c r="P35" s="124"/>
      <c r="Q35" s="44">
        <f>+F35</f>
        <v>84700</v>
      </c>
      <c r="R35" s="61">
        <f>+G35</f>
        <v>891.578947368421</v>
      </c>
    </row>
    <row r="36" spans="1:18" ht="15" customHeight="1" thickBot="1">
      <c r="A36" s="3"/>
      <c r="B36" s="13">
        <v>4.11</v>
      </c>
      <c r="C36" s="8" t="s">
        <v>59</v>
      </c>
      <c r="D36" s="7" t="s">
        <v>50</v>
      </c>
      <c r="E36" s="45">
        <v>1</v>
      </c>
      <c r="F36" s="43">
        <v>20000</v>
      </c>
      <c r="G36" s="61">
        <f>+F36/95</f>
        <v>210.52631578947367</v>
      </c>
      <c r="H36" s="127"/>
      <c r="I36" s="43">
        <f>+F36*E36</f>
        <v>20000</v>
      </c>
      <c r="J36" s="61">
        <f>+I36/95</f>
        <v>210.52631578947367</v>
      </c>
      <c r="K36" s="43">
        <v>20000</v>
      </c>
      <c r="L36" s="61">
        <f>+K36/95</f>
        <v>210.52631578947367</v>
      </c>
      <c r="M36" s="127"/>
      <c r="N36" s="43"/>
      <c r="O36" s="61"/>
      <c r="P36" s="127"/>
      <c r="Q36" s="44">
        <f>+F36</f>
        <v>20000</v>
      </c>
      <c r="R36" s="61">
        <f>+Q36/95</f>
        <v>210.52631578947367</v>
      </c>
    </row>
    <row r="37" spans="1:18" ht="15" customHeight="1" thickBot="1">
      <c r="A37" s="3"/>
      <c r="B37" s="13">
        <v>4.12</v>
      </c>
      <c r="C37" s="8" t="s">
        <v>60</v>
      </c>
      <c r="D37" s="7" t="s">
        <v>50</v>
      </c>
      <c r="E37" s="45">
        <v>1</v>
      </c>
      <c r="F37" s="43">
        <v>20000</v>
      </c>
      <c r="G37" s="61">
        <f aca="true" t="shared" si="7" ref="G37:G50">+F37/95</f>
        <v>210.52631578947367</v>
      </c>
      <c r="H37" s="127"/>
      <c r="I37" s="43">
        <f aca="true" t="shared" si="8" ref="I37:I50">+F37*E37</f>
        <v>20000</v>
      </c>
      <c r="J37" s="61">
        <f aca="true" t="shared" si="9" ref="J37:J50">+I37/95</f>
        <v>210.52631578947367</v>
      </c>
      <c r="K37" s="43">
        <v>20000</v>
      </c>
      <c r="L37" s="61">
        <f aca="true" t="shared" si="10" ref="L37:L50">+K37/95</f>
        <v>210.52631578947367</v>
      </c>
      <c r="M37" s="127"/>
      <c r="N37" s="43"/>
      <c r="O37" s="61"/>
      <c r="P37" s="127"/>
      <c r="Q37" s="44">
        <f>+F37</f>
        <v>20000</v>
      </c>
      <c r="R37" s="61">
        <f aca="true" t="shared" si="11" ref="R37:R50">+Q37/95</f>
        <v>210.52631578947367</v>
      </c>
    </row>
    <row r="38" spans="1:18" ht="15" customHeight="1" thickBot="1">
      <c r="A38" s="3"/>
      <c r="B38" s="186">
        <v>4.13</v>
      </c>
      <c r="C38" s="187" t="s">
        <v>61</v>
      </c>
      <c r="D38" s="7" t="s">
        <v>50</v>
      </c>
      <c r="E38" s="45">
        <v>1</v>
      </c>
      <c r="F38" s="43">
        <v>5000</v>
      </c>
      <c r="G38" s="61">
        <f t="shared" si="7"/>
        <v>52.63157894736842</v>
      </c>
      <c r="H38" s="127"/>
      <c r="I38" s="43">
        <f t="shared" si="8"/>
        <v>5000</v>
      </c>
      <c r="J38" s="61">
        <f t="shared" si="9"/>
        <v>52.63157894736842</v>
      </c>
      <c r="K38" s="43">
        <v>5000</v>
      </c>
      <c r="L38" s="61">
        <f t="shared" si="10"/>
        <v>52.63157894736842</v>
      </c>
      <c r="M38" s="127"/>
      <c r="N38" s="43"/>
      <c r="O38" s="61"/>
      <c r="P38" s="127"/>
      <c r="Q38" s="44">
        <f>+F38</f>
        <v>5000</v>
      </c>
      <c r="R38" s="61">
        <f t="shared" si="11"/>
        <v>52.63157894736842</v>
      </c>
    </row>
    <row r="39" spans="1:18" ht="15" customHeight="1" thickBot="1">
      <c r="A39" s="3"/>
      <c r="B39" s="13">
        <v>4.14</v>
      </c>
      <c r="C39" s="8" t="s">
        <v>145</v>
      </c>
      <c r="D39" s="7" t="s">
        <v>50</v>
      </c>
      <c r="E39" s="45">
        <v>1</v>
      </c>
      <c r="F39" s="43">
        <v>20000</v>
      </c>
      <c r="G39" s="61">
        <f t="shared" si="7"/>
        <v>210.52631578947367</v>
      </c>
      <c r="H39" s="127"/>
      <c r="I39" s="43">
        <f t="shared" si="8"/>
        <v>20000</v>
      </c>
      <c r="J39" s="61">
        <f t="shared" si="9"/>
        <v>210.52631578947367</v>
      </c>
      <c r="K39" s="43">
        <v>10000</v>
      </c>
      <c r="L39" s="61">
        <f t="shared" si="10"/>
        <v>105.26315789473684</v>
      </c>
      <c r="M39" s="127"/>
      <c r="N39" s="43">
        <f>+I39*0.5</f>
        <v>10000</v>
      </c>
      <c r="O39" s="61">
        <f>+N39/95</f>
        <v>105.26315789473684</v>
      </c>
      <c r="P39" s="127"/>
      <c r="Q39" s="44">
        <f>+F39</f>
        <v>20000</v>
      </c>
      <c r="R39" s="61">
        <f t="shared" si="11"/>
        <v>210.52631578947367</v>
      </c>
    </row>
    <row r="40" spans="1:18" ht="15" customHeight="1" thickBot="1">
      <c r="A40" s="3"/>
      <c r="B40" s="13">
        <v>4.15</v>
      </c>
      <c r="C40" s="8" t="s">
        <v>65</v>
      </c>
      <c r="D40" s="7" t="s">
        <v>50</v>
      </c>
      <c r="E40" s="45">
        <v>1</v>
      </c>
      <c r="F40" s="43">
        <v>110000</v>
      </c>
      <c r="G40" s="61">
        <f t="shared" si="7"/>
        <v>1157.8947368421052</v>
      </c>
      <c r="H40" s="127"/>
      <c r="I40" s="43">
        <f t="shared" si="8"/>
        <v>110000</v>
      </c>
      <c r="J40" s="61">
        <f t="shared" si="9"/>
        <v>1157.8947368421052</v>
      </c>
      <c r="K40" s="43">
        <v>75000</v>
      </c>
      <c r="L40" s="61">
        <f t="shared" si="10"/>
        <v>789.4736842105264</v>
      </c>
      <c r="M40" s="127"/>
      <c r="N40" s="43">
        <f>+I40*35000/110000</f>
        <v>35000</v>
      </c>
      <c r="O40" s="61">
        <f>+N40/95</f>
        <v>368.42105263157896</v>
      </c>
      <c r="P40" s="127"/>
      <c r="Q40" s="44">
        <f>+F40</f>
        <v>110000</v>
      </c>
      <c r="R40" s="61">
        <f t="shared" si="11"/>
        <v>1157.8947368421052</v>
      </c>
    </row>
    <row r="41" spans="1:18" ht="15" customHeight="1" thickBot="1">
      <c r="A41" s="3"/>
      <c r="B41" s="13">
        <v>4.16</v>
      </c>
      <c r="C41" s="266" t="s">
        <v>203</v>
      </c>
      <c r="D41" s="7" t="s">
        <v>50</v>
      </c>
      <c r="E41" s="45">
        <v>1</v>
      </c>
      <c r="F41" s="43">
        <v>10000</v>
      </c>
      <c r="G41" s="61">
        <f t="shared" si="7"/>
        <v>105.26315789473684</v>
      </c>
      <c r="H41" s="127"/>
      <c r="I41" s="43">
        <f t="shared" si="8"/>
        <v>10000</v>
      </c>
      <c r="J41" s="61">
        <f t="shared" si="9"/>
        <v>105.26315789473684</v>
      </c>
      <c r="K41" s="43">
        <v>10000</v>
      </c>
      <c r="L41" s="61">
        <f t="shared" si="10"/>
        <v>105.26315789473684</v>
      </c>
      <c r="M41" s="127"/>
      <c r="N41" s="43"/>
      <c r="O41" s="61"/>
      <c r="P41" s="127"/>
      <c r="Q41" s="44">
        <f>+F41</f>
        <v>10000</v>
      </c>
      <c r="R41" s="61">
        <f t="shared" si="11"/>
        <v>105.26315789473684</v>
      </c>
    </row>
    <row r="42" spans="1:18" ht="15" customHeight="1" thickBot="1">
      <c r="A42" s="3"/>
      <c r="B42" s="13">
        <v>4.17</v>
      </c>
      <c r="C42" s="266" t="s">
        <v>204</v>
      </c>
      <c r="D42" s="7" t="s">
        <v>136</v>
      </c>
      <c r="E42" s="45">
        <v>1</v>
      </c>
      <c r="F42" s="43">
        <v>5000</v>
      </c>
      <c r="G42" s="61">
        <f t="shared" si="7"/>
        <v>52.63157894736842</v>
      </c>
      <c r="H42" s="127"/>
      <c r="I42" s="43">
        <f t="shared" si="8"/>
        <v>5000</v>
      </c>
      <c r="J42" s="61">
        <f t="shared" si="9"/>
        <v>52.63157894736842</v>
      </c>
      <c r="K42" s="43">
        <v>5000</v>
      </c>
      <c r="L42" s="61">
        <f t="shared" si="10"/>
        <v>52.63157894736842</v>
      </c>
      <c r="M42" s="127"/>
      <c r="N42" s="43"/>
      <c r="O42" s="61"/>
      <c r="P42" s="127"/>
      <c r="Q42" s="44">
        <f>+F42</f>
        <v>5000</v>
      </c>
      <c r="R42" s="61">
        <f t="shared" si="11"/>
        <v>52.63157894736842</v>
      </c>
    </row>
    <row r="43" spans="1:18" ht="15" customHeight="1" thickBot="1">
      <c r="A43" s="3"/>
      <c r="B43" s="49">
        <v>4.18</v>
      </c>
      <c r="C43" s="266" t="s">
        <v>202</v>
      </c>
      <c r="D43" s="7" t="s">
        <v>50</v>
      </c>
      <c r="E43" s="45">
        <v>1</v>
      </c>
      <c r="F43" s="43">
        <v>40000</v>
      </c>
      <c r="G43" s="61">
        <f t="shared" si="7"/>
        <v>421.05263157894734</v>
      </c>
      <c r="H43" s="127"/>
      <c r="I43" s="43">
        <f t="shared" si="8"/>
        <v>40000</v>
      </c>
      <c r="J43" s="61">
        <f t="shared" si="9"/>
        <v>421.05263157894734</v>
      </c>
      <c r="K43" s="43">
        <v>12000</v>
      </c>
      <c r="L43" s="61">
        <f t="shared" si="10"/>
        <v>126.3157894736842</v>
      </c>
      <c r="M43" s="127"/>
      <c r="N43" s="43">
        <f>+I43*0.7</f>
        <v>28000</v>
      </c>
      <c r="O43" s="61">
        <f>+N43/95</f>
        <v>294.7368421052632</v>
      </c>
      <c r="P43" s="127"/>
      <c r="Q43" s="44">
        <f>+F43</f>
        <v>40000</v>
      </c>
      <c r="R43" s="61">
        <f t="shared" si="11"/>
        <v>421.05263157894734</v>
      </c>
    </row>
    <row r="44" spans="1:18" ht="15" customHeight="1" thickBot="1">
      <c r="A44" s="3"/>
      <c r="B44" s="49">
        <v>4.19</v>
      </c>
      <c r="C44" s="266" t="s">
        <v>205</v>
      </c>
      <c r="D44" s="7" t="s">
        <v>50</v>
      </c>
      <c r="E44" s="45">
        <v>1</v>
      </c>
      <c r="F44" s="43">
        <v>5000</v>
      </c>
      <c r="G44" s="61">
        <f t="shared" si="7"/>
        <v>52.63157894736842</v>
      </c>
      <c r="H44" s="127"/>
      <c r="I44" s="43">
        <f t="shared" si="8"/>
        <v>5000</v>
      </c>
      <c r="J44" s="61">
        <f t="shared" si="9"/>
        <v>52.63157894736842</v>
      </c>
      <c r="K44" s="43">
        <v>1500</v>
      </c>
      <c r="L44" s="61">
        <f t="shared" si="10"/>
        <v>15.789473684210526</v>
      </c>
      <c r="M44" s="127"/>
      <c r="N44" s="43">
        <f>+I44*0.7</f>
        <v>3500</v>
      </c>
      <c r="O44" s="61">
        <f>+N44/95</f>
        <v>36.8421052631579</v>
      </c>
      <c r="P44" s="127"/>
      <c r="Q44" s="44">
        <f>+F44</f>
        <v>5000</v>
      </c>
      <c r="R44" s="61">
        <f t="shared" si="11"/>
        <v>52.63157894736842</v>
      </c>
    </row>
    <row r="45" spans="1:18" ht="15" customHeight="1" thickBot="1">
      <c r="A45" s="3"/>
      <c r="B45" s="17">
        <v>4.2</v>
      </c>
      <c r="C45" s="8" t="s">
        <v>39</v>
      </c>
      <c r="D45" s="7" t="s">
        <v>50</v>
      </c>
      <c r="E45" s="45">
        <v>1</v>
      </c>
      <c r="F45" s="43">
        <v>5000</v>
      </c>
      <c r="G45" s="61">
        <f t="shared" si="7"/>
        <v>52.63157894736842</v>
      </c>
      <c r="H45" s="127"/>
      <c r="I45" s="43">
        <f t="shared" si="8"/>
        <v>5000</v>
      </c>
      <c r="J45" s="61">
        <f t="shared" si="9"/>
        <v>52.63157894736842</v>
      </c>
      <c r="K45" s="43">
        <v>5000</v>
      </c>
      <c r="L45" s="61">
        <f t="shared" si="10"/>
        <v>52.63157894736842</v>
      </c>
      <c r="M45" s="127"/>
      <c r="N45" s="43"/>
      <c r="O45" s="61"/>
      <c r="P45" s="127"/>
      <c r="Q45" s="44">
        <f>+F45</f>
        <v>5000</v>
      </c>
      <c r="R45" s="61">
        <f t="shared" si="11"/>
        <v>52.63157894736842</v>
      </c>
    </row>
    <row r="46" spans="1:18" ht="15" customHeight="1" thickBot="1">
      <c r="A46" s="3"/>
      <c r="B46" s="13">
        <v>4.21</v>
      </c>
      <c r="C46" s="8" t="s">
        <v>41</v>
      </c>
      <c r="D46" s="7" t="s">
        <v>50</v>
      </c>
      <c r="E46" s="45">
        <v>1</v>
      </c>
      <c r="F46" s="43">
        <v>10000</v>
      </c>
      <c r="G46" s="61">
        <f t="shared" si="7"/>
        <v>105.26315789473684</v>
      </c>
      <c r="H46" s="127"/>
      <c r="I46" s="43">
        <f t="shared" si="8"/>
        <v>10000</v>
      </c>
      <c r="J46" s="61">
        <f t="shared" si="9"/>
        <v>105.26315789473684</v>
      </c>
      <c r="K46" s="43">
        <v>10000</v>
      </c>
      <c r="L46" s="61">
        <f t="shared" si="10"/>
        <v>105.26315789473684</v>
      </c>
      <c r="M46" s="127"/>
      <c r="N46" s="43"/>
      <c r="O46" s="61"/>
      <c r="P46" s="127"/>
      <c r="Q46" s="44">
        <f>+F46</f>
        <v>10000</v>
      </c>
      <c r="R46" s="61">
        <f t="shared" si="11"/>
        <v>105.26315789473684</v>
      </c>
    </row>
    <row r="47" spans="1:18" ht="15" customHeight="1" thickBot="1">
      <c r="A47" s="3"/>
      <c r="B47" s="13">
        <v>4.22</v>
      </c>
      <c r="C47" s="8" t="s">
        <v>42</v>
      </c>
      <c r="D47" s="7" t="s">
        <v>50</v>
      </c>
      <c r="E47" s="45">
        <v>1</v>
      </c>
      <c r="F47" s="43">
        <f>2000+500</f>
        <v>2500</v>
      </c>
      <c r="G47" s="61">
        <f t="shared" si="7"/>
        <v>26.31578947368421</v>
      </c>
      <c r="H47" s="127"/>
      <c r="I47" s="43">
        <f t="shared" si="8"/>
        <v>2500</v>
      </c>
      <c r="J47" s="61">
        <f t="shared" si="9"/>
        <v>26.31578947368421</v>
      </c>
      <c r="K47" s="43">
        <v>2500</v>
      </c>
      <c r="L47" s="61">
        <f t="shared" si="10"/>
        <v>26.31578947368421</v>
      </c>
      <c r="M47" s="127"/>
      <c r="N47" s="43"/>
      <c r="O47" s="61"/>
      <c r="P47" s="127"/>
      <c r="Q47" s="44">
        <f>+F47</f>
        <v>2500</v>
      </c>
      <c r="R47" s="61">
        <f t="shared" si="11"/>
        <v>26.31578947368421</v>
      </c>
    </row>
    <row r="48" spans="1:18" ht="15" customHeight="1" thickBot="1">
      <c r="A48" s="3"/>
      <c r="B48" s="13">
        <v>4.23</v>
      </c>
      <c r="C48" s="8" t="s">
        <v>4</v>
      </c>
      <c r="D48" s="7" t="s">
        <v>50</v>
      </c>
      <c r="E48" s="45">
        <v>1</v>
      </c>
      <c r="F48" s="43">
        <v>5000</v>
      </c>
      <c r="G48" s="61">
        <f t="shared" si="7"/>
        <v>52.63157894736842</v>
      </c>
      <c r="H48" s="127"/>
      <c r="I48" s="43">
        <f t="shared" si="8"/>
        <v>5000</v>
      </c>
      <c r="J48" s="61">
        <f t="shared" si="9"/>
        <v>52.63157894736842</v>
      </c>
      <c r="K48" s="43">
        <v>5000</v>
      </c>
      <c r="L48" s="61">
        <f t="shared" si="10"/>
        <v>52.63157894736842</v>
      </c>
      <c r="M48" s="127"/>
      <c r="N48" s="43"/>
      <c r="O48" s="61"/>
      <c r="P48" s="127"/>
      <c r="Q48" s="44">
        <f>+F48</f>
        <v>5000</v>
      </c>
      <c r="R48" s="61">
        <f t="shared" si="11"/>
        <v>52.63157894736842</v>
      </c>
    </row>
    <row r="49" spans="1:18" ht="15" customHeight="1" thickBot="1">
      <c r="A49" s="3"/>
      <c r="B49" s="13">
        <v>4.24</v>
      </c>
      <c r="C49" s="8" t="s">
        <v>63</v>
      </c>
      <c r="D49" s="7" t="s">
        <v>50</v>
      </c>
      <c r="E49" s="45">
        <v>1</v>
      </c>
      <c r="F49" s="43">
        <v>2000</v>
      </c>
      <c r="G49" s="61">
        <f t="shared" si="7"/>
        <v>21.05263157894737</v>
      </c>
      <c r="H49" s="127"/>
      <c r="I49" s="43">
        <f t="shared" si="8"/>
        <v>2000</v>
      </c>
      <c r="J49" s="61">
        <f t="shared" si="9"/>
        <v>21.05263157894737</v>
      </c>
      <c r="K49" s="43"/>
      <c r="L49" s="61"/>
      <c r="M49" s="127"/>
      <c r="N49" s="43">
        <f>+I49</f>
        <v>2000</v>
      </c>
      <c r="O49" s="61">
        <f>+N49/95</f>
        <v>21.05263157894737</v>
      </c>
      <c r="P49" s="127"/>
      <c r="Q49" s="44">
        <f>+F49</f>
        <v>2000</v>
      </c>
      <c r="R49" s="61">
        <f t="shared" si="11"/>
        <v>21.05263157894737</v>
      </c>
    </row>
    <row r="50" spans="1:18" ht="15" customHeight="1" thickBot="1">
      <c r="A50" s="3"/>
      <c r="B50" s="13">
        <v>4.25</v>
      </c>
      <c r="C50" s="8" t="s">
        <v>43</v>
      </c>
      <c r="D50" s="7" t="s">
        <v>50</v>
      </c>
      <c r="E50" s="45">
        <v>1</v>
      </c>
      <c r="F50" s="43">
        <v>5000</v>
      </c>
      <c r="G50" s="61">
        <f t="shared" si="7"/>
        <v>52.63157894736842</v>
      </c>
      <c r="H50" s="127"/>
      <c r="I50" s="43">
        <f t="shared" si="8"/>
        <v>5000</v>
      </c>
      <c r="J50" s="61">
        <f t="shared" si="9"/>
        <v>52.63157894736842</v>
      </c>
      <c r="K50" s="43">
        <v>5000</v>
      </c>
      <c r="L50" s="61">
        <f t="shared" si="10"/>
        <v>52.63157894736842</v>
      </c>
      <c r="M50" s="127"/>
      <c r="N50" s="43"/>
      <c r="O50" s="61"/>
      <c r="P50" s="127"/>
      <c r="Q50" s="44">
        <f>+F50</f>
        <v>5000</v>
      </c>
      <c r="R50" s="61">
        <f t="shared" si="11"/>
        <v>52.63157894736842</v>
      </c>
    </row>
    <row r="51" spans="1:18" ht="15" customHeight="1" thickBot="1">
      <c r="A51" s="3"/>
      <c r="B51" s="62"/>
      <c r="C51" s="63" t="s">
        <v>28</v>
      </c>
      <c r="D51" s="68"/>
      <c r="E51" s="69"/>
      <c r="F51" s="66"/>
      <c r="G51" s="69"/>
      <c r="H51" s="124"/>
      <c r="I51" s="67">
        <f>SUM(I36:I50)</f>
        <v>264500</v>
      </c>
      <c r="J51" s="112">
        <f>SUM(J36:J50)</f>
        <v>2784.2105263157887</v>
      </c>
      <c r="K51" s="67">
        <f>SUM(K35:K50)</f>
        <v>270700</v>
      </c>
      <c r="L51" s="113">
        <f>SUM(L35:L50)</f>
        <v>2849.4736842105253</v>
      </c>
      <c r="M51" s="124"/>
      <c r="N51" s="67">
        <f>SUM(N36:N50)</f>
        <v>78500</v>
      </c>
      <c r="O51" s="113">
        <f>SUM(O36:O50)</f>
        <v>826.3157894736843</v>
      </c>
      <c r="P51" s="124"/>
      <c r="Q51" s="122">
        <f>SUM(Q35:Q50)</f>
        <v>349200</v>
      </c>
      <c r="R51" s="432">
        <v>3594.7368421052624</v>
      </c>
    </row>
    <row r="52" spans="1:18" ht="24" customHeight="1" thickBot="1">
      <c r="A52" s="3"/>
      <c r="B52" s="23"/>
      <c r="C52" s="41" t="s">
        <v>37</v>
      </c>
      <c r="D52" s="42"/>
      <c r="E52" s="45"/>
      <c r="F52" s="43"/>
      <c r="G52" s="45"/>
      <c r="H52" s="130"/>
      <c r="I52" s="114">
        <f>+I51+I33+I28</f>
        <v>813000</v>
      </c>
      <c r="J52" s="115">
        <f>+J51+J33+J28</f>
        <v>8557.894736842103</v>
      </c>
      <c r="K52" s="114">
        <f>+K51+K33+K28</f>
        <v>594450</v>
      </c>
      <c r="L52" s="431">
        <f>+L51+L33+L28</f>
        <v>6257.368421052632</v>
      </c>
      <c r="M52" s="130"/>
      <c r="N52" s="116">
        <f>+N51+N33+N28</f>
        <v>303250</v>
      </c>
      <c r="O52" s="431">
        <f>+O51+O33+O28</f>
        <v>3192.105263157895</v>
      </c>
      <c r="P52" s="130"/>
      <c r="Q52" s="434">
        <f>+Q51+Q33+Q27+Q19</f>
        <v>897700</v>
      </c>
      <c r="R52" s="433">
        <f>+Q52/95</f>
        <v>9449.473684210527</v>
      </c>
    </row>
    <row r="53" ht="15" customHeight="1"/>
    <row r="54" ht="15" customHeight="1">
      <c r="K54" s="51"/>
    </row>
    <row r="55" spans="1:12" ht="15" customHeight="1">
      <c r="A55" t="s">
        <v>100</v>
      </c>
      <c r="L55" s="51"/>
    </row>
  </sheetData>
  <sheetProtection/>
  <mergeCells count="6">
    <mergeCell ref="F4:G4"/>
    <mergeCell ref="K4:L4"/>
    <mergeCell ref="N4:O4"/>
    <mergeCell ref="B3:C3"/>
    <mergeCell ref="I4:J4"/>
    <mergeCell ref="Q4:R4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G12" sqref="G12"/>
    </sheetView>
  </sheetViews>
  <sheetFormatPr defaultColWidth="9.140625" defaultRowHeight="15"/>
  <cols>
    <col min="1" max="3" width="9.140625" style="191" customWidth="1"/>
    <col min="4" max="4" width="19.28125" style="191" customWidth="1"/>
    <col min="5" max="5" width="14.57421875" style="191" bestFit="1" customWidth="1"/>
    <col min="6" max="6" width="14.57421875" style="191" customWidth="1"/>
    <col min="7" max="8" width="10.8515625" style="191" bestFit="1" customWidth="1"/>
    <col min="9" max="16384" width="9.140625" style="191" customWidth="1"/>
  </cols>
  <sheetData>
    <row r="1" spans="1:2" ht="15.75">
      <c r="A1" s="199" t="s">
        <v>169</v>
      </c>
      <c r="B1" s="192"/>
    </row>
    <row r="2" spans="1:6" ht="15">
      <c r="A2" s="233"/>
      <c r="B2" s="234"/>
      <c r="C2" s="234"/>
      <c r="D2" s="235"/>
      <c r="E2" s="200" t="s">
        <v>44</v>
      </c>
      <c r="F2" s="200" t="s">
        <v>46</v>
      </c>
    </row>
    <row r="3" spans="1:6" ht="15">
      <c r="A3" s="233" t="s">
        <v>0</v>
      </c>
      <c r="B3" s="234"/>
      <c r="C3" s="234"/>
      <c r="D3" s="235"/>
      <c r="E3" s="193">
        <v>35000</v>
      </c>
      <c r="F3" s="427">
        <f aca="true" t="shared" si="0" ref="F3:F8">+E3/95</f>
        <v>368.42105263157896</v>
      </c>
    </row>
    <row r="4" spans="1:6" ht="15">
      <c r="A4" s="233" t="s">
        <v>177</v>
      </c>
      <c r="B4" s="234"/>
      <c r="C4" s="234"/>
      <c r="D4" s="235"/>
      <c r="E4" s="193">
        <v>2000</v>
      </c>
      <c r="F4" s="427">
        <f t="shared" si="0"/>
        <v>21.05263157894737</v>
      </c>
    </row>
    <row r="5" spans="1:6" ht="15">
      <c r="A5" s="233" t="s">
        <v>178</v>
      </c>
      <c r="B5" s="234"/>
      <c r="C5" s="234"/>
      <c r="D5" s="235"/>
      <c r="E5" s="193">
        <v>1000</v>
      </c>
      <c r="F5" s="427">
        <f t="shared" si="0"/>
        <v>10.526315789473685</v>
      </c>
    </row>
    <row r="6" spans="1:6" ht="15">
      <c r="A6" s="233" t="s">
        <v>179</v>
      </c>
      <c r="B6" s="234"/>
      <c r="C6" s="234"/>
      <c r="D6" s="235"/>
      <c r="E6" s="193">
        <v>2000</v>
      </c>
      <c r="F6" s="427">
        <f t="shared" si="0"/>
        <v>21.05263157894737</v>
      </c>
    </row>
    <row r="7" spans="1:6" ht="15">
      <c r="A7" s="233" t="s">
        <v>181</v>
      </c>
      <c r="B7" s="234"/>
      <c r="C7" s="234"/>
      <c r="D7" s="235"/>
      <c r="E7" s="193">
        <v>5000</v>
      </c>
      <c r="F7" s="427">
        <f t="shared" si="0"/>
        <v>52.63157894736842</v>
      </c>
    </row>
    <row r="8" spans="1:6" ht="15">
      <c r="A8" s="233" t="s">
        <v>180</v>
      </c>
      <c r="B8" s="234"/>
      <c r="C8" s="234"/>
      <c r="D8" s="235"/>
      <c r="E8" s="201">
        <v>5000</v>
      </c>
      <c r="F8" s="427">
        <f t="shared" si="0"/>
        <v>52.63157894736842</v>
      </c>
    </row>
    <row r="9" spans="1:6" ht="15">
      <c r="A9" s="244" t="s">
        <v>167</v>
      </c>
      <c r="B9" s="245"/>
      <c r="C9" s="245"/>
      <c r="D9" s="246"/>
      <c r="E9" s="202">
        <f>SUM(E3:E8)</f>
        <v>50000</v>
      </c>
      <c r="F9" s="428">
        <f>SUM(F3:F8)</f>
        <v>526.3157894736843</v>
      </c>
    </row>
    <row r="10" ht="15">
      <c r="F10" s="429"/>
    </row>
    <row r="11" spans="1:6" ht="15">
      <c r="A11" s="191" t="s">
        <v>168</v>
      </c>
      <c r="F11" s="429"/>
    </row>
    <row r="12" ht="15">
      <c r="F12" s="429"/>
    </row>
    <row r="13" spans="1:6" ht="15.75">
      <c r="A13" s="199" t="s">
        <v>176</v>
      </c>
      <c r="E13" s="5" t="s">
        <v>44</v>
      </c>
      <c r="F13" s="430" t="s">
        <v>46</v>
      </c>
    </row>
    <row r="14" spans="1:10" ht="15.75">
      <c r="A14" s="241" t="s">
        <v>182</v>
      </c>
      <c r="B14" s="242"/>
      <c r="C14" s="242"/>
      <c r="D14" s="243"/>
      <c r="E14" s="240">
        <f>+E9*26</f>
        <v>1300000</v>
      </c>
      <c r="F14" s="426">
        <f>+E14/95</f>
        <v>13684.21052631579</v>
      </c>
      <c r="J14" s="50"/>
    </row>
  </sheetData>
  <sheetProtection/>
  <mergeCells count="8">
    <mergeCell ref="A8:D8"/>
    <mergeCell ref="A9:D9"/>
    <mergeCell ref="A2:D2"/>
    <mergeCell ref="A3:D3"/>
    <mergeCell ref="A4:D4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H8" sqref="H8"/>
    </sheetView>
  </sheetViews>
  <sheetFormatPr defaultColWidth="9.140625" defaultRowHeight="15"/>
  <cols>
    <col min="1" max="3" width="9.140625" style="191" customWidth="1"/>
    <col min="4" max="4" width="15.140625" style="191" customWidth="1"/>
    <col min="5" max="5" width="14.57421875" style="191" customWidth="1"/>
    <col min="6" max="6" width="14.57421875" style="191" bestFit="1" customWidth="1"/>
    <col min="7" max="7" width="9.140625" style="191" customWidth="1"/>
    <col min="8" max="8" width="10.8515625" style="191" bestFit="1" customWidth="1"/>
    <col min="9" max="16384" width="9.140625" style="191" customWidth="1"/>
  </cols>
  <sheetData>
    <row r="1" ht="15.75">
      <c r="A1" s="199" t="s">
        <v>170</v>
      </c>
    </row>
    <row r="2" spans="1:6" ht="15">
      <c r="A2" s="233"/>
      <c r="B2" s="234"/>
      <c r="C2" s="234"/>
      <c r="D2" s="235"/>
      <c r="E2" s="200" t="s">
        <v>44</v>
      </c>
      <c r="F2" s="200" t="s">
        <v>46</v>
      </c>
    </row>
    <row r="3" spans="1:6" ht="15">
      <c r="A3" s="236" t="s">
        <v>0</v>
      </c>
      <c r="B3" s="236"/>
      <c r="C3" s="236"/>
      <c r="D3" s="236"/>
      <c r="E3" s="193">
        <v>200000</v>
      </c>
      <c r="F3" s="427">
        <f aca="true" t="shared" si="0" ref="F3:F9">+E3/95</f>
        <v>2105.2631578947367</v>
      </c>
    </row>
    <row r="4" spans="1:6" ht="15">
      <c r="A4" s="236" t="s">
        <v>172</v>
      </c>
      <c r="B4" s="236"/>
      <c r="C4" s="236"/>
      <c r="D4" s="236"/>
      <c r="E4" s="193">
        <v>500000</v>
      </c>
      <c r="F4" s="427">
        <f t="shared" si="0"/>
        <v>5263.1578947368425</v>
      </c>
    </row>
    <row r="5" spans="1:6" ht="15">
      <c r="A5" s="208" t="s">
        <v>171</v>
      </c>
      <c r="B5" s="194"/>
      <c r="C5" s="194"/>
      <c r="D5" s="195"/>
      <c r="E5" s="193">
        <v>100000</v>
      </c>
      <c r="F5" s="427">
        <f t="shared" si="0"/>
        <v>1052.6315789473683</v>
      </c>
    </row>
    <row r="6" spans="1:6" ht="15">
      <c r="A6" s="233" t="s">
        <v>174</v>
      </c>
      <c r="B6" s="234"/>
      <c r="C6" s="234"/>
      <c r="D6" s="235"/>
      <c r="E6" s="193">
        <v>70000</v>
      </c>
      <c r="F6" s="427">
        <f t="shared" si="0"/>
        <v>736.8421052631579</v>
      </c>
    </row>
    <row r="7" spans="1:6" ht="15">
      <c r="A7" s="236" t="s">
        <v>175</v>
      </c>
      <c r="B7" s="236"/>
      <c r="C7" s="236"/>
      <c r="D7" s="236"/>
      <c r="E7" s="193">
        <v>50000</v>
      </c>
      <c r="F7" s="427">
        <f t="shared" si="0"/>
        <v>526.3157894736842</v>
      </c>
    </row>
    <row r="8" spans="1:6" s="207" customFormat="1" ht="15">
      <c r="A8" s="233" t="s">
        <v>173</v>
      </c>
      <c r="B8" s="234"/>
      <c r="C8" s="234"/>
      <c r="D8" s="235"/>
      <c r="E8" s="193">
        <v>100000</v>
      </c>
      <c r="F8" s="427">
        <f t="shared" si="0"/>
        <v>1052.6315789473683</v>
      </c>
    </row>
    <row r="9" spans="1:6" s="207" customFormat="1" ht="15">
      <c r="A9" s="208" t="s">
        <v>207</v>
      </c>
      <c r="B9" s="209"/>
      <c r="C9" s="209"/>
      <c r="D9" s="210"/>
      <c r="E9" s="193">
        <v>100000</v>
      </c>
      <c r="F9" s="427">
        <f t="shared" si="0"/>
        <v>1052.6315789473683</v>
      </c>
    </row>
    <row r="10" spans="1:6" ht="15.75">
      <c r="A10" s="236"/>
      <c r="B10" s="236"/>
      <c r="C10" s="236"/>
      <c r="D10" s="236"/>
      <c r="E10" s="196">
        <f>SUM(E3:E9)</f>
        <v>1120000</v>
      </c>
      <c r="F10" s="426">
        <v>11789.47</v>
      </c>
    </row>
    <row r="13" spans="3:8" ht="15">
      <c r="C13" s="207"/>
      <c r="F13" s="5"/>
      <c r="H13" s="5"/>
    </row>
    <row r="14" spans="4:8" ht="18.75">
      <c r="D14" s="207"/>
      <c r="F14" s="197"/>
      <c r="G14" s="198"/>
      <c r="H14" s="197"/>
    </row>
    <row r="15" spans="4:10" ht="15">
      <c r="D15" s="207"/>
      <c r="J15" s="50"/>
    </row>
  </sheetData>
  <sheetProtection/>
  <mergeCells count="7">
    <mergeCell ref="A3:D3"/>
    <mergeCell ref="A4:D4"/>
    <mergeCell ref="A6:D6"/>
    <mergeCell ref="A7:D7"/>
    <mergeCell ref="A10:D10"/>
    <mergeCell ref="A2:D2"/>
    <mergeCell ref="A8:D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"/>
  <sheetViews>
    <sheetView showGridLines="0" tabSelected="1" zoomScalePageLayoutView="0" workbookViewId="0" topLeftCell="A1">
      <selection activeCell="J16" sqref="J16"/>
    </sheetView>
  </sheetViews>
  <sheetFormatPr defaultColWidth="9.140625" defaultRowHeight="15"/>
  <cols>
    <col min="1" max="1" width="5.140625" style="0" customWidth="1"/>
    <col min="2" max="2" width="17.140625" style="0" customWidth="1"/>
    <col min="3" max="3" width="19.00390625" style="0" customWidth="1"/>
    <col min="4" max="4" width="11.7109375" style="0" customWidth="1"/>
    <col min="5" max="5" width="12.8515625" style="0" customWidth="1"/>
    <col min="6" max="7" width="10.57421875" style="0" bestFit="1" customWidth="1"/>
    <col min="9" max="9" width="10.57421875" style="0" bestFit="1" customWidth="1"/>
  </cols>
  <sheetData>
    <row r="2" ht="15">
      <c r="A2" s="440" t="s">
        <v>209</v>
      </c>
    </row>
    <row r="4" spans="1:5" ht="13.5" customHeight="1">
      <c r="A4" s="254" t="s">
        <v>183</v>
      </c>
      <c r="B4" s="242"/>
      <c r="C4" s="243"/>
      <c r="D4" s="37" t="s">
        <v>44</v>
      </c>
      <c r="E4" s="37" t="s">
        <v>46</v>
      </c>
    </row>
    <row r="5" spans="1:5" ht="15">
      <c r="A5" s="241" t="s">
        <v>159</v>
      </c>
      <c r="B5" s="242"/>
      <c r="C5" s="243"/>
      <c r="D5" s="39">
        <f>+Charsadda!H40</f>
        <v>561000</v>
      </c>
      <c r="E5" s="438">
        <f>+D5/95</f>
        <v>5905.263157894737</v>
      </c>
    </row>
    <row r="6" spans="1:5" ht="12.75" customHeight="1">
      <c r="A6" s="241" t="s">
        <v>160</v>
      </c>
      <c r="B6" s="242"/>
      <c r="C6" s="243"/>
      <c r="D6" s="39">
        <f>+Shikarpur!H52</f>
        <v>495000</v>
      </c>
      <c r="E6" s="438">
        <f>+D6/95</f>
        <v>5210.526315789473</v>
      </c>
    </row>
    <row r="7" spans="1:7" ht="14.25" customHeight="1">
      <c r="A7" s="241" t="s">
        <v>161</v>
      </c>
      <c r="B7" s="247"/>
      <c r="C7" s="248"/>
      <c r="D7" s="39">
        <f>+Swat!H59</f>
        <v>961400</v>
      </c>
      <c r="E7" s="438">
        <f>+D7/95</f>
        <v>10120</v>
      </c>
      <c r="G7" s="50"/>
    </row>
    <row r="8" spans="1:6" s="3" customFormat="1" ht="15">
      <c r="A8" s="207" t="s">
        <v>208</v>
      </c>
      <c r="B8"/>
      <c r="C8"/>
      <c r="D8" s="39">
        <f>+'Leepa '!H63-D15</f>
        <v>1236400</v>
      </c>
      <c r="E8" s="438">
        <f>+D8/95</f>
        <v>13014.736842105263</v>
      </c>
      <c r="F8" s="189"/>
    </row>
    <row r="9" spans="1:5" s="3" customFormat="1" ht="15">
      <c r="A9" s="249" t="s">
        <v>158</v>
      </c>
      <c r="B9" s="250"/>
      <c r="C9" s="251"/>
      <c r="D9" s="255">
        <f>+'School Health Prog'!E14</f>
        <v>1300000</v>
      </c>
      <c r="E9" s="438">
        <f>+D9/95</f>
        <v>13684.21052631579</v>
      </c>
    </row>
    <row r="10" spans="1:5" s="3" customFormat="1" ht="15">
      <c r="A10" s="249" t="s">
        <v>164</v>
      </c>
      <c r="B10" s="252"/>
      <c r="C10" s="253"/>
      <c r="D10" s="255">
        <f>+'Special Patients'!E10</f>
        <v>1120000</v>
      </c>
      <c r="E10" s="438">
        <f>+D10/95</f>
        <v>11789.473684210527</v>
      </c>
    </row>
    <row r="11" spans="1:5" s="3" customFormat="1" ht="15">
      <c r="A11" s="241" t="s">
        <v>74</v>
      </c>
      <c r="B11" s="242"/>
      <c r="C11" s="243"/>
      <c r="D11" s="39">
        <f>+'Head Office'!K52</f>
        <v>594450</v>
      </c>
      <c r="E11" s="438">
        <f>+D11/95</f>
        <v>6257.368421052632</v>
      </c>
    </row>
    <row r="12" spans="1:5" s="3" customFormat="1" ht="15">
      <c r="A12" s="241" t="s">
        <v>162</v>
      </c>
      <c r="B12" s="242"/>
      <c r="C12" s="243"/>
      <c r="D12" s="39">
        <f>+'Head Office'!N52</f>
        <v>303250</v>
      </c>
      <c r="E12" s="438">
        <f>+D12/95</f>
        <v>3192.1052631578946</v>
      </c>
    </row>
    <row r="13" spans="1:9" s="28" customFormat="1" ht="27.75" customHeight="1">
      <c r="A13" s="237" t="s">
        <v>1</v>
      </c>
      <c r="B13" s="238"/>
      <c r="C13" s="239"/>
      <c r="D13" s="56">
        <f>SUM(D5:D12)</f>
        <v>6571500</v>
      </c>
      <c r="E13" s="439">
        <f>SUM(E5:E12)</f>
        <v>69173.68421052632</v>
      </c>
      <c r="G13" s="60"/>
      <c r="I13" s="60"/>
    </row>
    <row r="14" spans="1:5" ht="14.25" customHeight="1">
      <c r="A14" s="95"/>
      <c r="B14" s="1"/>
      <c r="C14" s="1"/>
      <c r="D14" s="4"/>
      <c r="E14" s="4"/>
    </row>
    <row r="15" spans="4:12" ht="15">
      <c r="D15" s="185"/>
      <c r="E15" s="185"/>
      <c r="L15" s="50"/>
    </row>
    <row r="16" ht="15">
      <c r="E16" s="101"/>
    </row>
  </sheetData>
  <sheetProtection/>
  <mergeCells count="1">
    <mergeCell ref="A13:C13"/>
  </mergeCells>
  <printOptions/>
  <pageMargins left="0.7" right="0.7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2012-08-10T01:05:56Z</dcterms:modified>
  <cp:category/>
  <cp:version/>
  <cp:contentType/>
  <cp:contentStatus/>
</cp:coreProperties>
</file>